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ouse\Desktop\NMU Sustainability Committee Initiative\4. Operations\Operations Documentation\OP5\"/>
    </mc:Choice>
  </mc:AlternateContent>
  <bookViews>
    <workbookView xWindow="0" yWindow="0" windowWidth="23040" windowHeight="9190"/>
  </bookViews>
  <sheets>
    <sheet name="Formula Worksheet_Energy" sheetId="1" r:id="rId1"/>
    <sheet name="Formula Worksheet_Renewable " sheetId="12" r:id="rId2"/>
    <sheet name="Summary Worksheet" sheetId="11" r:id="rId3"/>
    <sheet name="Biomass Data_FY1516" sheetId="10" r:id="rId4"/>
    <sheet name="Biomass Data_FY1314" sheetId="13" r:id="rId5"/>
    <sheet name="FY1011_Water Consumption" sheetId="3" r:id="rId6"/>
    <sheet name="FY1516 Water Information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3" l="1"/>
  <c r="F43" i="13"/>
  <c r="E43" i="13"/>
  <c r="D43" i="13"/>
  <c r="G42" i="13"/>
  <c r="F42" i="13"/>
  <c r="E42" i="13"/>
  <c r="D42" i="13"/>
  <c r="G41" i="13"/>
  <c r="F41" i="13"/>
  <c r="E41" i="13"/>
  <c r="D41" i="13"/>
  <c r="G40" i="13"/>
  <c r="F40" i="13"/>
  <c r="E40" i="13"/>
  <c r="D40" i="13"/>
  <c r="L30" i="13"/>
  <c r="L32" i="13" s="1"/>
  <c r="H30" i="13"/>
  <c r="H32" i="13" s="1"/>
  <c r="D30" i="13"/>
  <c r="D32" i="13" s="1"/>
  <c r="M29" i="13"/>
  <c r="M30" i="13" s="1"/>
  <c r="M32" i="13" s="1"/>
  <c r="L29" i="13"/>
  <c r="K29" i="13"/>
  <c r="K30" i="13" s="1"/>
  <c r="K32" i="13" s="1"/>
  <c r="J29" i="13"/>
  <c r="J30" i="13" s="1"/>
  <c r="J32" i="13" s="1"/>
  <c r="I29" i="13"/>
  <c r="I30" i="13" s="1"/>
  <c r="I32" i="13" s="1"/>
  <c r="H29" i="13"/>
  <c r="G29" i="13"/>
  <c r="G30" i="13" s="1"/>
  <c r="G32" i="13" s="1"/>
  <c r="F29" i="13"/>
  <c r="F30" i="13" s="1"/>
  <c r="F32" i="13" s="1"/>
  <c r="E29" i="13"/>
  <c r="E30" i="13" s="1"/>
  <c r="E32" i="13" s="1"/>
  <c r="D29" i="13"/>
  <c r="C29" i="13"/>
  <c r="C30" i="13" s="1"/>
  <c r="C32" i="13" s="1"/>
  <c r="B29" i="13"/>
  <c r="N29" i="13" s="1"/>
  <c r="N28" i="13"/>
  <c r="N27" i="13"/>
  <c r="N26" i="13"/>
  <c r="M23" i="13"/>
  <c r="I23" i="13"/>
  <c r="E23" i="13"/>
  <c r="M22" i="13"/>
  <c r="L22" i="13"/>
  <c r="N21" i="13"/>
  <c r="N20" i="13"/>
  <c r="M17" i="13"/>
  <c r="L17" i="13"/>
  <c r="L23" i="13" s="1"/>
  <c r="K17" i="13"/>
  <c r="K19" i="13" s="1"/>
  <c r="K22" i="13" s="1"/>
  <c r="N22" i="13" s="1"/>
  <c r="J17" i="13"/>
  <c r="I17" i="13"/>
  <c r="H17" i="13"/>
  <c r="H23" i="13" s="1"/>
  <c r="G17" i="13"/>
  <c r="G19" i="13" s="1"/>
  <c r="F17" i="13"/>
  <c r="F23" i="13" s="1"/>
  <c r="E17" i="13"/>
  <c r="D17" i="13"/>
  <c r="D23" i="13" s="1"/>
  <c r="C17" i="13"/>
  <c r="C19" i="13" s="1"/>
  <c r="B17" i="13"/>
  <c r="N17" i="13" s="1"/>
  <c r="N15" i="13"/>
  <c r="L14" i="13"/>
  <c r="K14" i="13"/>
  <c r="K16" i="13" s="1"/>
  <c r="J14" i="13"/>
  <c r="J16" i="13" s="1"/>
  <c r="I14" i="13"/>
  <c r="I16" i="13" s="1"/>
  <c r="H14" i="13"/>
  <c r="H16" i="13" s="1"/>
  <c r="G14" i="13"/>
  <c r="F14" i="13"/>
  <c r="F16" i="13" s="1"/>
  <c r="E14" i="13"/>
  <c r="N14" i="13" s="1"/>
  <c r="D14" i="13"/>
  <c r="C14" i="13"/>
  <c r="B14" i="13"/>
  <c r="N13" i="13"/>
  <c r="N12" i="13"/>
  <c r="L11" i="13"/>
  <c r="K11" i="13"/>
  <c r="J11" i="13"/>
  <c r="I11" i="13"/>
  <c r="H11" i="13"/>
  <c r="G11" i="13"/>
  <c r="F11" i="13"/>
  <c r="E11" i="13"/>
  <c r="D11" i="13"/>
  <c r="C11" i="13"/>
  <c r="B11" i="13"/>
  <c r="N11" i="13" s="1"/>
  <c r="N10" i="13"/>
  <c r="N9" i="13"/>
  <c r="K8" i="13"/>
  <c r="J8" i="13"/>
  <c r="G8" i="13"/>
  <c r="F8" i="13"/>
  <c r="C8" i="13"/>
  <c r="B8" i="13"/>
  <c r="N7" i="13"/>
  <c r="N6" i="13"/>
  <c r="M5" i="13"/>
  <c r="M8" i="13" s="1"/>
  <c r="L5" i="13"/>
  <c r="L18" i="13" s="1"/>
  <c r="L19" i="13" s="1"/>
  <c r="K5" i="13"/>
  <c r="K18" i="13" s="1"/>
  <c r="J5" i="13"/>
  <c r="J18" i="13" s="1"/>
  <c r="I5" i="13"/>
  <c r="I8" i="13" s="1"/>
  <c r="H5" i="13"/>
  <c r="H18" i="13" s="1"/>
  <c r="H19" i="13" s="1"/>
  <c r="G5" i="13"/>
  <c r="G18" i="13" s="1"/>
  <c r="F5" i="13"/>
  <c r="F18" i="13" s="1"/>
  <c r="E5" i="13"/>
  <c r="E8" i="13" s="1"/>
  <c r="D5" i="13"/>
  <c r="D18" i="13" s="1"/>
  <c r="D19" i="13" s="1"/>
  <c r="C5" i="13"/>
  <c r="C18" i="13" s="1"/>
  <c r="B5" i="13"/>
  <c r="B18" i="13" s="1"/>
  <c r="M4" i="13"/>
  <c r="L4" i="13"/>
  <c r="K4" i="13"/>
  <c r="J4" i="13"/>
  <c r="I4" i="13"/>
  <c r="H4" i="13"/>
  <c r="G4" i="13"/>
  <c r="F4" i="13"/>
  <c r="E4" i="13"/>
  <c r="D4" i="13"/>
  <c r="C4" i="13"/>
  <c r="B4" i="13"/>
  <c r="N4" i="13" s="1"/>
  <c r="N3" i="13"/>
  <c r="L15" i="12"/>
  <c r="L14" i="12"/>
  <c r="L13" i="12"/>
  <c r="H14" i="12"/>
  <c r="J14" i="12"/>
  <c r="J13" i="12"/>
  <c r="H13" i="12"/>
  <c r="F14" i="12"/>
  <c r="F13" i="12"/>
  <c r="E6" i="12"/>
  <c r="E10" i="12"/>
  <c r="E9" i="12"/>
  <c r="E8" i="12"/>
  <c r="E4" i="12"/>
  <c r="E3" i="12"/>
  <c r="K6" i="12"/>
  <c r="K4" i="12"/>
  <c r="N16" i="13" l="1"/>
  <c r="N23" i="13"/>
  <c r="J19" i="13"/>
  <c r="E18" i="13"/>
  <c r="E19" i="13" s="1"/>
  <c r="N5" i="13"/>
  <c r="B23" i="13"/>
  <c r="J23" i="13"/>
  <c r="D8" i="13"/>
  <c r="N8" i="13" s="1"/>
  <c r="H8" i="13"/>
  <c r="L8" i="13"/>
  <c r="B19" i="13"/>
  <c r="F19" i="13"/>
  <c r="C23" i="13"/>
  <c r="G23" i="13"/>
  <c r="K23" i="13"/>
  <c r="B30" i="13"/>
  <c r="I18" i="13"/>
  <c r="I19" i="13" s="1"/>
  <c r="M18" i="13"/>
  <c r="M19" i="13" s="1"/>
  <c r="B32" i="13" l="1"/>
  <c r="N32" i="13" s="1"/>
  <c r="N30" i="13"/>
  <c r="N18" i="13"/>
  <c r="N19" i="13"/>
  <c r="E64" i="1" l="1"/>
  <c r="F53" i="11"/>
  <c r="E53" i="11"/>
  <c r="D53" i="11"/>
  <c r="C53" i="11"/>
  <c r="F52" i="11"/>
  <c r="E52" i="11"/>
  <c r="D52" i="11"/>
  <c r="C52" i="11"/>
  <c r="F51" i="11"/>
  <c r="E51" i="11"/>
  <c r="D51" i="11"/>
  <c r="C51" i="11"/>
  <c r="F50" i="11"/>
  <c r="E50" i="11"/>
  <c r="D50" i="11"/>
  <c r="C50" i="11"/>
  <c r="F49" i="11"/>
  <c r="E49" i="11"/>
  <c r="D49" i="11"/>
  <c r="C49" i="11"/>
  <c r="F48" i="11"/>
  <c r="E48" i="11"/>
  <c r="D48" i="11"/>
  <c r="C48" i="11"/>
  <c r="F47" i="11"/>
  <c r="E47" i="11"/>
  <c r="D47" i="11"/>
  <c r="C47" i="11"/>
  <c r="F46" i="11"/>
  <c r="E46" i="11"/>
  <c r="D46" i="11"/>
  <c r="C46" i="11"/>
  <c r="F45" i="11"/>
  <c r="E45" i="11"/>
  <c r="D45" i="11"/>
  <c r="C45" i="11"/>
  <c r="F44" i="11"/>
  <c r="E44" i="11"/>
  <c r="D44" i="11"/>
  <c r="C44" i="11"/>
  <c r="F43" i="11"/>
  <c r="E43" i="11"/>
  <c r="D43" i="11"/>
  <c r="C43" i="11"/>
  <c r="F42" i="11"/>
  <c r="E42" i="11"/>
  <c r="D42" i="11"/>
  <c r="C42" i="11"/>
  <c r="F38" i="11"/>
  <c r="F39" i="11" s="1"/>
  <c r="E38" i="11"/>
  <c r="E39" i="11" s="1"/>
  <c r="D38" i="11"/>
  <c r="D39" i="11" s="1"/>
  <c r="C38" i="11"/>
  <c r="C39" i="11" s="1"/>
  <c r="D20" i="11"/>
  <c r="C20" i="11"/>
  <c r="F19" i="11"/>
  <c r="F20" i="11" s="1"/>
  <c r="E19" i="11"/>
  <c r="E20" i="11" s="1"/>
  <c r="D19" i="11"/>
  <c r="C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19" i="11" s="1"/>
  <c r="B58" i="1"/>
  <c r="B61" i="1"/>
  <c r="E19" i="1"/>
  <c r="E18" i="1"/>
  <c r="E17" i="1"/>
  <c r="E16" i="1"/>
  <c r="G20" i="11" l="1"/>
  <c r="E57" i="1"/>
  <c r="C95" i="10" l="1"/>
  <c r="G53" i="10"/>
  <c r="F53" i="10"/>
  <c r="E53" i="10"/>
  <c r="D53" i="10"/>
  <c r="G52" i="10"/>
  <c r="F52" i="10"/>
  <c r="E52" i="10"/>
  <c r="D52" i="10"/>
  <c r="G51" i="10"/>
  <c r="F51" i="10"/>
  <c r="E51" i="10"/>
  <c r="D51" i="10"/>
  <c r="G50" i="10"/>
  <c r="F50" i="10"/>
  <c r="E50" i="10"/>
  <c r="D50" i="10"/>
  <c r="M35" i="10"/>
  <c r="M37" i="10" s="1"/>
  <c r="I35" i="10"/>
  <c r="I37" i="10" s="1"/>
  <c r="E35" i="10"/>
  <c r="E37" i="10" s="1"/>
  <c r="M34" i="10"/>
  <c r="L34" i="10"/>
  <c r="L35" i="10" s="1"/>
  <c r="L37" i="10" s="1"/>
  <c r="K34" i="10"/>
  <c r="K35" i="10" s="1"/>
  <c r="K37" i="10" s="1"/>
  <c r="J34" i="10"/>
  <c r="J35" i="10" s="1"/>
  <c r="J37" i="10" s="1"/>
  <c r="I34" i="10"/>
  <c r="H34" i="10"/>
  <c r="H35" i="10" s="1"/>
  <c r="H37" i="10" s="1"/>
  <c r="G34" i="10"/>
  <c r="G35" i="10" s="1"/>
  <c r="G37" i="10" s="1"/>
  <c r="F34" i="10"/>
  <c r="F35" i="10" s="1"/>
  <c r="F37" i="10" s="1"/>
  <c r="E34" i="10"/>
  <c r="D34" i="10"/>
  <c r="D35" i="10" s="1"/>
  <c r="D37" i="10" s="1"/>
  <c r="C34" i="10"/>
  <c r="C35" i="10" s="1"/>
  <c r="C37" i="10" s="1"/>
  <c r="B34" i="10"/>
  <c r="N34" i="10" s="1"/>
  <c r="N33" i="10"/>
  <c r="N32" i="10"/>
  <c r="N31" i="10"/>
  <c r="J28" i="10"/>
  <c r="F28" i="10"/>
  <c r="B28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N27" i="10" s="1"/>
  <c r="N26" i="10"/>
  <c r="N25" i="10"/>
  <c r="J24" i="10"/>
  <c r="M23" i="10"/>
  <c r="K23" i="10"/>
  <c r="J23" i="10"/>
  <c r="G23" i="10"/>
  <c r="C23" i="10"/>
  <c r="M22" i="10"/>
  <c r="M28" i="10" s="1"/>
  <c r="L22" i="10"/>
  <c r="L28" i="10" s="1"/>
  <c r="K22" i="10"/>
  <c r="K28" i="10" s="1"/>
  <c r="J22" i="10"/>
  <c r="I22" i="10"/>
  <c r="I28" i="10" s="1"/>
  <c r="H22" i="10"/>
  <c r="H28" i="10" s="1"/>
  <c r="G22" i="10"/>
  <c r="G28" i="10" s="1"/>
  <c r="F22" i="10"/>
  <c r="E22" i="10"/>
  <c r="E28" i="10" s="1"/>
  <c r="D22" i="10"/>
  <c r="D28" i="10" s="1"/>
  <c r="C22" i="10"/>
  <c r="C28" i="10" s="1"/>
  <c r="B22" i="10"/>
  <c r="N22" i="10" s="1"/>
  <c r="N28" i="10" s="1"/>
  <c r="N21" i="10"/>
  <c r="N20" i="10"/>
  <c r="K19" i="10"/>
  <c r="I19" i="10"/>
  <c r="H19" i="10"/>
  <c r="G19" i="10"/>
  <c r="F19" i="10"/>
  <c r="E19" i="10"/>
  <c r="D19" i="10"/>
  <c r="N19" i="10" s="1"/>
  <c r="N18" i="10"/>
  <c r="N17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N16" i="10" s="1"/>
  <c r="N15" i="10"/>
  <c r="N14" i="10"/>
  <c r="N12" i="10"/>
  <c r="L11" i="10"/>
  <c r="L23" i="10" s="1"/>
  <c r="K11" i="10"/>
  <c r="I11" i="10"/>
  <c r="I23" i="10" s="1"/>
  <c r="H11" i="10"/>
  <c r="H23" i="10" s="1"/>
  <c r="G11" i="10"/>
  <c r="F11" i="10"/>
  <c r="F23" i="10" s="1"/>
  <c r="F24" i="10" s="1"/>
  <c r="E11" i="10"/>
  <c r="E23" i="10" s="1"/>
  <c r="D11" i="10"/>
  <c r="N11" i="10" s="1"/>
  <c r="B11" i="10"/>
  <c r="B23" i="10" s="1"/>
  <c r="M10" i="10"/>
  <c r="L10" i="10"/>
  <c r="K10" i="10"/>
  <c r="H10" i="10"/>
  <c r="G10" i="10"/>
  <c r="F10" i="10"/>
  <c r="E10" i="10"/>
  <c r="D10" i="10"/>
  <c r="C10" i="10"/>
  <c r="B10" i="10"/>
  <c r="N10" i="10" s="1"/>
  <c r="N9" i="10"/>
  <c r="N8" i="10"/>
  <c r="N112" i="4"/>
  <c r="M112" i="4"/>
  <c r="L112" i="4"/>
  <c r="K112" i="4"/>
  <c r="J112" i="4"/>
  <c r="I112" i="4"/>
  <c r="H112" i="4"/>
  <c r="G112" i="4"/>
  <c r="F112" i="4"/>
  <c r="E112" i="4"/>
  <c r="D112" i="4"/>
  <c r="C112" i="4"/>
  <c r="O112" i="4" s="1"/>
  <c r="M107" i="4"/>
  <c r="L107" i="4"/>
  <c r="I107" i="4"/>
  <c r="H107" i="4"/>
  <c r="E107" i="4"/>
  <c r="D107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N105" i="4"/>
  <c r="N107" i="4" s="1"/>
  <c r="M105" i="4"/>
  <c r="L105" i="4"/>
  <c r="K105" i="4"/>
  <c r="K107" i="4" s="1"/>
  <c r="J105" i="4"/>
  <c r="J107" i="4" s="1"/>
  <c r="I105" i="4"/>
  <c r="H105" i="4"/>
  <c r="G105" i="4"/>
  <c r="G107" i="4" s="1"/>
  <c r="F105" i="4"/>
  <c r="F107" i="4" s="1"/>
  <c r="E105" i="4"/>
  <c r="D105" i="4"/>
  <c r="C105" i="4"/>
  <c r="C107" i="4" s="1"/>
  <c r="AE104" i="4"/>
  <c r="O104" i="4"/>
  <c r="AE103" i="4"/>
  <c r="O103" i="4"/>
  <c r="O102" i="4"/>
  <c r="AE101" i="4"/>
  <c r="O101" i="4"/>
  <c r="AE100" i="4"/>
  <c r="O100" i="4"/>
  <c r="AD99" i="4"/>
  <c r="AC99" i="4"/>
  <c r="AB99" i="4"/>
  <c r="AA99" i="4"/>
  <c r="Z99" i="4"/>
  <c r="Y99" i="4"/>
  <c r="X99" i="4"/>
  <c r="W99" i="4"/>
  <c r="V99" i="4"/>
  <c r="U99" i="4"/>
  <c r="T99" i="4"/>
  <c r="S99" i="4"/>
  <c r="AE99" i="4" s="1"/>
  <c r="O99" i="4"/>
  <c r="AE98" i="4"/>
  <c r="O98" i="4"/>
  <c r="AE97" i="4"/>
  <c r="O97" i="4"/>
  <c r="AE96" i="4"/>
  <c r="O96" i="4"/>
  <c r="O95" i="4"/>
  <c r="O94" i="4"/>
  <c r="O93" i="4"/>
  <c r="N89" i="4"/>
  <c r="M89" i="4"/>
  <c r="L89" i="4"/>
  <c r="K89" i="4"/>
  <c r="J89" i="4"/>
  <c r="I89" i="4"/>
  <c r="H89" i="4"/>
  <c r="G89" i="4"/>
  <c r="F89" i="4"/>
  <c r="E89" i="4"/>
  <c r="D89" i="4"/>
  <c r="C89" i="4"/>
  <c r="O89" i="4" s="1"/>
  <c r="O88" i="4"/>
  <c r="AE87" i="4"/>
  <c r="O87" i="4"/>
  <c r="AE86" i="4"/>
  <c r="O86" i="4"/>
  <c r="AE85" i="4"/>
  <c r="AE84" i="4"/>
  <c r="AE83" i="4"/>
  <c r="AE82" i="4"/>
  <c r="AE80" i="4"/>
  <c r="AA78" i="4"/>
  <c r="X78" i="4"/>
  <c r="W78" i="4"/>
  <c r="S78" i="4"/>
  <c r="AE78" i="4" s="1"/>
  <c r="AD77" i="4"/>
  <c r="AD78" i="4" s="1"/>
  <c r="AC77" i="4"/>
  <c r="AC78" i="4" s="1"/>
  <c r="AB77" i="4"/>
  <c r="AB78" i="4" s="1"/>
  <c r="AA77" i="4"/>
  <c r="Z77" i="4"/>
  <c r="Z78" i="4" s="1"/>
  <c r="Y77" i="4"/>
  <c r="Y78" i="4" s="1"/>
  <c r="X77" i="4"/>
  <c r="W77" i="4"/>
  <c r="V77" i="4"/>
  <c r="V78" i="4" s="1"/>
  <c r="U77" i="4"/>
  <c r="U78" i="4" s="1"/>
  <c r="T77" i="4"/>
  <c r="T78" i="4" s="1"/>
  <c r="S77" i="4"/>
  <c r="AE77" i="4" s="1"/>
  <c r="AE76" i="4"/>
  <c r="O75" i="4"/>
  <c r="N74" i="4"/>
  <c r="M74" i="4"/>
  <c r="L74" i="4"/>
  <c r="K74" i="4"/>
  <c r="J74" i="4"/>
  <c r="I74" i="4"/>
  <c r="H74" i="4"/>
  <c r="G74" i="4"/>
  <c r="F74" i="4"/>
  <c r="E74" i="4"/>
  <c r="D74" i="4"/>
  <c r="C74" i="4"/>
  <c r="AD73" i="4"/>
  <c r="AC73" i="4"/>
  <c r="AB73" i="4"/>
  <c r="AA73" i="4"/>
  <c r="Z73" i="4"/>
  <c r="Y73" i="4"/>
  <c r="X73" i="4"/>
  <c r="W73" i="4"/>
  <c r="V73" i="4"/>
  <c r="U73" i="4"/>
  <c r="T73" i="4"/>
  <c r="S73" i="4"/>
  <c r="AE73" i="4" s="1"/>
  <c r="M72" i="4"/>
  <c r="L72" i="4"/>
  <c r="I72" i="4"/>
  <c r="H72" i="4"/>
  <c r="E72" i="4"/>
  <c r="D72" i="4"/>
  <c r="N71" i="4"/>
  <c r="N72" i="4" s="1"/>
  <c r="M71" i="4"/>
  <c r="L71" i="4"/>
  <c r="K71" i="4"/>
  <c r="K72" i="4" s="1"/>
  <c r="J71" i="4"/>
  <c r="J72" i="4" s="1"/>
  <c r="I71" i="4"/>
  <c r="H71" i="4"/>
  <c r="G71" i="4"/>
  <c r="G72" i="4" s="1"/>
  <c r="F71" i="4"/>
  <c r="F72" i="4" s="1"/>
  <c r="E71" i="4"/>
  <c r="D71" i="4"/>
  <c r="C71" i="4"/>
  <c r="C72" i="4" s="1"/>
  <c r="W70" i="4"/>
  <c r="O70" i="4"/>
  <c r="O69" i="4"/>
  <c r="N68" i="4"/>
  <c r="M68" i="4"/>
  <c r="L68" i="4"/>
  <c r="K68" i="4"/>
  <c r="J68" i="4"/>
  <c r="I68" i="4"/>
  <c r="H68" i="4"/>
  <c r="G68" i="4"/>
  <c r="F68" i="4"/>
  <c r="E68" i="4"/>
  <c r="D68" i="4"/>
  <c r="C68" i="4"/>
  <c r="O68" i="4" s="1"/>
  <c r="N67" i="4"/>
  <c r="M67" i="4"/>
  <c r="L67" i="4"/>
  <c r="K67" i="4"/>
  <c r="J67" i="4"/>
  <c r="I67" i="4"/>
  <c r="H67" i="4"/>
  <c r="G67" i="4"/>
  <c r="F67" i="4"/>
  <c r="E67" i="4"/>
  <c r="D67" i="4"/>
  <c r="C67" i="4"/>
  <c r="O67" i="4" s="1"/>
  <c r="N66" i="4"/>
  <c r="K66" i="4"/>
  <c r="J66" i="4"/>
  <c r="G66" i="4"/>
  <c r="F66" i="4"/>
  <c r="C66" i="4"/>
  <c r="AD65" i="4"/>
  <c r="AC65" i="4"/>
  <c r="AB65" i="4"/>
  <c r="AA65" i="4"/>
  <c r="Z65" i="4"/>
  <c r="Y65" i="4"/>
  <c r="X65" i="4"/>
  <c r="W65" i="4"/>
  <c r="V65" i="4"/>
  <c r="U65" i="4"/>
  <c r="T65" i="4"/>
  <c r="S65" i="4"/>
  <c r="N65" i="4"/>
  <c r="M65" i="4"/>
  <c r="L65" i="4"/>
  <c r="K65" i="4"/>
  <c r="J65" i="4"/>
  <c r="I65" i="4"/>
  <c r="H65" i="4"/>
  <c r="G65" i="4"/>
  <c r="F65" i="4"/>
  <c r="E65" i="4"/>
  <c r="D65" i="4"/>
  <c r="C65" i="4"/>
  <c r="AE64" i="4"/>
  <c r="O64" i="4"/>
  <c r="AE63" i="4"/>
  <c r="O63" i="4"/>
  <c r="AE62" i="4"/>
  <c r="O62" i="4"/>
  <c r="AE61" i="4"/>
  <c r="O61" i="4"/>
  <c r="AE60" i="4"/>
  <c r="O60" i="4"/>
  <c r="AE59" i="4"/>
  <c r="O59" i="4"/>
  <c r="AE57" i="4"/>
  <c r="O57" i="4"/>
  <c r="AE51" i="4"/>
  <c r="O51" i="4"/>
  <c r="AE50" i="4"/>
  <c r="O50" i="4"/>
  <c r="AM49" i="4"/>
  <c r="AE49" i="4"/>
  <c r="O49" i="4"/>
  <c r="AE48" i="4"/>
  <c r="O48" i="4"/>
  <c r="AM47" i="4"/>
  <c r="AE47" i="4"/>
  <c r="O47" i="4"/>
  <c r="N45" i="4"/>
  <c r="M45" i="4"/>
  <c r="L45" i="4"/>
  <c r="K45" i="4"/>
  <c r="J45" i="4"/>
  <c r="I45" i="4"/>
  <c r="H45" i="4"/>
  <c r="G45" i="4"/>
  <c r="F45" i="4"/>
  <c r="E45" i="4"/>
  <c r="D45" i="4"/>
  <c r="C45" i="4"/>
  <c r="AD44" i="4"/>
  <c r="AC44" i="4"/>
  <c r="AA44" i="4"/>
  <c r="Z44" i="4"/>
  <c r="Y44" i="4"/>
  <c r="W44" i="4"/>
  <c r="V44" i="4"/>
  <c r="U44" i="4"/>
  <c r="S44" i="4"/>
  <c r="O44" i="4"/>
  <c r="AD43" i="4"/>
  <c r="AB43" i="4"/>
  <c r="AA43" i="4"/>
  <c r="Z43" i="4"/>
  <c r="X43" i="4"/>
  <c r="W43" i="4"/>
  <c r="V43" i="4"/>
  <c r="T43" i="4"/>
  <c r="S43" i="4"/>
  <c r="O43" i="4"/>
  <c r="AC42" i="4"/>
  <c r="AB42" i="4"/>
  <c r="AA42" i="4"/>
  <c r="Z42" i="4"/>
  <c r="Y42" i="4"/>
  <c r="X42" i="4"/>
  <c r="W42" i="4"/>
  <c r="V42" i="4"/>
  <c r="U42" i="4"/>
  <c r="T42" i="4"/>
  <c r="S42" i="4"/>
  <c r="O42" i="4"/>
  <c r="AD41" i="4"/>
  <c r="AA41" i="4"/>
  <c r="Z41" i="4"/>
  <c r="W41" i="4"/>
  <c r="W72" i="4" s="1"/>
  <c r="V41" i="4"/>
  <c r="S41" i="4"/>
  <c r="O41" i="4"/>
  <c r="AD40" i="4"/>
  <c r="AC40" i="4"/>
  <c r="AB40" i="4"/>
  <c r="AA40" i="4"/>
  <c r="Z40" i="4"/>
  <c r="Y40" i="4"/>
  <c r="X40" i="4"/>
  <c r="W40" i="4"/>
  <c r="V40" i="4"/>
  <c r="U40" i="4"/>
  <c r="T40" i="4"/>
  <c r="S40" i="4"/>
  <c r="AE40" i="4" s="1"/>
  <c r="O40" i="4"/>
  <c r="AD39" i="4"/>
  <c r="AA39" i="4"/>
  <c r="Z39" i="4"/>
  <c r="W39" i="4"/>
  <c r="V39" i="4"/>
  <c r="S39" i="4"/>
  <c r="O39" i="4"/>
  <c r="AD38" i="4"/>
  <c r="AC38" i="4"/>
  <c r="AB38" i="4"/>
  <c r="AA38" i="4"/>
  <c r="Z38" i="4"/>
  <c r="Y38" i="4"/>
  <c r="X38" i="4"/>
  <c r="W38" i="4"/>
  <c r="V38" i="4"/>
  <c r="U38" i="4"/>
  <c r="T38" i="4"/>
  <c r="S38" i="4"/>
  <c r="AE38" i="4" s="1"/>
  <c r="O38" i="4"/>
  <c r="AD36" i="4"/>
  <c r="AD72" i="4" s="1"/>
  <c r="AA36" i="4"/>
  <c r="AA72" i="4" s="1"/>
  <c r="Z36" i="4"/>
  <c r="W36" i="4"/>
  <c r="V36" i="4"/>
  <c r="V72" i="4" s="1"/>
  <c r="S36" i="4"/>
  <c r="S72" i="4" s="1"/>
  <c r="O36" i="4"/>
  <c r="AD35" i="4"/>
  <c r="AC35" i="4"/>
  <c r="AB35" i="4"/>
  <c r="AA35" i="4"/>
  <c r="Z35" i="4"/>
  <c r="Y35" i="4"/>
  <c r="X35" i="4"/>
  <c r="W35" i="4"/>
  <c r="V35" i="4"/>
  <c r="U35" i="4"/>
  <c r="T35" i="4"/>
  <c r="S35" i="4"/>
  <c r="O35" i="4"/>
  <c r="AD34" i="4"/>
  <c r="AA34" i="4"/>
  <c r="Z34" i="4"/>
  <c r="W34" i="4"/>
  <c r="V34" i="4"/>
  <c r="S34" i="4"/>
  <c r="O34" i="4"/>
  <c r="AD33" i="4"/>
  <c r="AC33" i="4"/>
  <c r="AB33" i="4"/>
  <c r="AA33" i="4"/>
  <c r="Z33" i="4"/>
  <c r="Y33" i="4"/>
  <c r="X33" i="4"/>
  <c r="W33" i="4"/>
  <c r="V33" i="4"/>
  <c r="U33" i="4"/>
  <c r="T33" i="4"/>
  <c r="S33" i="4"/>
  <c r="O33" i="4"/>
  <c r="AD32" i="4"/>
  <c r="AA32" i="4"/>
  <c r="Z32" i="4"/>
  <c r="W32" i="4"/>
  <c r="W45" i="4" s="1"/>
  <c r="V32" i="4"/>
  <c r="S32" i="4"/>
  <c r="O32" i="4"/>
  <c r="AD31" i="4"/>
  <c r="AC31" i="4"/>
  <c r="AB31" i="4"/>
  <c r="AA31" i="4"/>
  <c r="Z31" i="4"/>
  <c r="Y31" i="4"/>
  <c r="X31" i="4"/>
  <c r="W31" i="4"/>
  <c r="V31" i="4"/>
  <c r="U31" i="4"/>
  <c r="T31" i="4"/>
  <c r="S31" i="4"/>
  <c r="AE31" i="4" s="1"/>
  <c r="O31" i="4"/>
  <c r="AD30" i="4"/>
  <c r="AA30" i="4"/>
  <c r="Z30" i="4"/>
  <c r="Z71" i="4" s="1"/>
  <c r="W30" i="4"/>
  <c r="V30" i="4"/>
  <c r="S30" i="4"/>
  <c r="O30" i="4"/>
  <c r="AD29" i="4"/>
  <c r="AC29" i="4"/>
  <c r="AB29" i="4"/>
  <c r="AA29" i="4"/>
  <c r="Z29" i="4"/>
  <c r="Y29" i="4"/>
  <c r="X29" i="4"/>
  <c r="W29" i="4"/>
  <c r="V29" i="4"/>
  <c r="U29" i="4"/>
  <c r="T29" i="4"/>
  <c r="S29" i="4"/>
  <c r="AE29" i="4" s="1"/>
  <c r="O29" i="4"/>
  <c r="AD28" i="4"/>
  <c r="AA28" i="4"/>
  <c r="AA71" i="4" s="1"/>
  <c r="Z28" i="4"/>
  <c r="W28" i="4"/>
  <c r="V28" i="4"/>
  <c r="S28" i="4"/>
  <c r="S71" i="4" s="1"/>
  <c r="O28" i="4"/>
  <c r="AE27" i="4"/>
  <c r="O27" i="4"/>
  <c r="AE26" i="4"/>
  <c r="O26" i="4"/>
  <c r="AM25" i="4"/>
  <c r="AE25" i="4"/>
  <c r="O25" i="4"/>
  <c r="O45" i="4" s="1"/>
  <c r="N23" i="4"/>
  <c r="M23" i="4"/>
  <c r="L23" i="4"/>
  <c r="K23" i="4"/>
  <c r="J23" i="4"/>
  <c r="I23" i="4"/>
  <c r="H23" i="4"/>
  <c r="G23" i="4"/>
  <c r="F23" i="4"/>
  <c r="E23" i="4"/>
  <c r="D23" i="4"/>
  <c r="C23" i="4"/>
  <c r="AD22" i="4"/>
  <c r="AC22" i="4"/>
  <c r="AA22" i="4"/>
  <c r="Z22" i="4"/>
  <c r="Y22" i="4"/>
  <c r="W22" i="4"/>
  <c r="V22" i="4"/>
  <c r="U22" i="4"/>
  <c r="S22" i="4"/>
  <c r="O22" i="4"/>
  <c r="AD21" i="4"/>
  <c r="AB21" i="4"/>
  <c r="AA21" i="4"/>
  <c r="Z21" i="4"/>
  <c r="X21" i="4"/>
  <c r="W21" i="4"/>
  <c r="V21" i="4"/>
  <c r="U21" i="4"/>
  <c r="T21" i="4"/>
  <c r="S21" i="4"/>
  <c r="O21" i="4"/>
  <c r="AD20" i="4"/>
  <c r="AD79" i="4" s="1"/>
  <c r="AC20" i="4"/>
  <c r="AA20" i="4"/>
  <c r="Z20" i="4"/>
  <c r="Z79" i="4" s="1"/>
  <c r="Y20" i="4"/>
  <c r="X20" i="4"/>
  <c r="W20" i="4"/>
  <c r="W79" i="4" s="1"/>
  <c r="V20" i="4"/>
  <c r="U20" i="4"/>
  <c r="T20" i="4"/>
  <c r="S20" i="4"/>
  <c r="O20" i="4"/>
  <c r="AE19" i="4"/>
  <c r="O19" i="4"/>
  <c r="AD18" i="4"/>
  <c r="AC18" i="4"/>
  <c r="AB18" i="4"/>
  <c r="AA18" i="4"/>
  <c r="Z18" i="4"/>
  <c r="Y18" i="4"/>
  <c r="X18" i="4"/>
  <c r="W18" i="4"/>
  <c r="V18" i="4"/>
  <c r="U18" i="4"/>
  <c r="T18" i="4"/>
  <c r="S18" i="4"/>
  <c r="AE18" i="4" s="1"/>
  <c r="O18" i="4"/>
  <c r="AD17" i="4"/>
  <c r="AC17" i="4"/>
  <c r="AB17" i="4"/>
  <c r="AA17" i="4"/>
  <c r="Z17" i="4"/>
  <c r="Y17" i="4"/>
  <c r="X17" i="4"/>
  <c r="W17" i="4"/>
  <c r="V17" i="4"/>
  <c r="U17" i="4"/>
  <c r="T17" i="4"/>
  <c r="S17" i="4"/>
  <c r="AE17" i="4" s="1"/>
  <c r="O17" i="4"/>
  <c r="AD16" i="4"/>
  <c r="AC16" i="4"/>
  <c r="AB16" i="4"/>
  <c r="AA16" i="4"/>
  <c r="Z16" i="4"/>
  <c r="Y16" i="4"/>
  <c r="X16" i="4"/>
  <c r="W16" i="4"/>
  <c r="V16" i="4"/>
  <c r="U16" i="4"/>
  <c r="T16" i="4"/>
  <c r="S16" i="4"/>
  <c r="AE16" i="4" s="1"/>
  <c r="O16" i="4"/>
  <c r="AD15" i="4"/>
  <c r="AC15" i="4"/>
  <c r="AB15" i="4"/>
  <c r="AA15" i="4"/>
  <c r="Z15" i="4"/>
  <c r="Y15" i="4"/>
  <c r="X15" i="4"/>
  <c r="W15" i="4"/>
  <c r="V15" i="4"/>
  <c r="U15" i="4"/>
  <c r="T15" i="4"/>
  <c r="S15" i="4"/>
  <c r="AE15" i="4" s="1"/>
  <c r="O15" i="4"/>
  <c r="AD14" i="4"/>
  <c r="AC14" i="4"/>
  <c r="AB14" i="4"/>
  <c r="AA14" i="4"/>
  <c r="Z14" i="4"/>
  <c r="Y14" i="4"/>
  <c r="X14" i="4"/>
  <c r="W14" i="4"/>
  <c r="V14" i="4"/>
  <c r="U14" i="4"/>
  <c r="T14" i="4"/>
  <c r="S14" i="4"/>
  <c r="AE14" i="4" s="1"/>
  <c r="O14" i="4"/>
  <c r="AD13" i="4"/>
  <c r="AC13" i="4"/>
  <c r="AB13" i="4"/>
  <c r="AA13" i="4"/>
  <c r="Z13" i="4"/>
  <c r="Y13" i="4"/>
  <c r="X13" i="4"/>
  <c r="W13" i="4"/>
  <c r="V13" i="4"/>
  <c r="U13" i="4"/>
  <c r="T13" i="4"/>
  <c r="S13" i="4"/>
  <c r="AE13" i="4" s="1"/>
  <c r="O13" i="4"/>
  <c r="AE12" i="4"/>
  <c r="O12" i="4"/>
  <c r="AE11" i="4"/>
  <c r="O11" i="4"/>
  <c r="AD10" i="4"/>
  <c r="AC10" i="4"/>
  <c r="AB10" i="4"/>
  <c r="AA10" i="4"/>
  <c r="Z10" i="4"/>
  <c r="Y10" i="4"/>
  <c r="X10" i="4"/>
  <c r="W10" i="4"/>
  <c r="V10" i="4"/>
  <c r="U10" i="4"/>
  <c r="T10" i="4"/>
  <c r="S10" i="4"/>
  <c r="AE10" i="4" s="1"/>
  <c r="O10" i="4"/>
  <c r="AE9" i="4"/>
  <c r="O9" i="4"/>
  <c r="AD8" i="4"/>
  <c r="AC8" i="4"/>
  <c r="AB8" i="4"/>
  <c r="AA8" i="4"/>
  <c r="Z8" i="4"/>
  <c r="Y8" i="4"/>
  <c r="X8" i="4"/>
  <c r="W8" i="4"/>
  <c r="V8" i="4"/>
  <c r="U8" i="4"/>
  <c r="T8" i="4"/>
  <c r="S8" i="4"/>
  <c r="AE8" i="4" s="1"/>
  <c r="O8" i="4"/>
  <c r="AD7" i="4"/>
  <c r="AC7" i="4"/>
  <c r="AB7" i="4"/>
  <c r="AA7" i="4"/>
  <c r="Z7" i="4"/>
  <c r="Y7" i="4"/>
  <c r="X7" i="4"/>
  <c r="W7" i="4"/>
  <c r="V7" i="4"/>
  <c r="U7" i="4"/>
  <c r="T7" i="4"/>
  <c r="S7" i="4"/>
  <c r="AE7" i="4" s="1"/>
  <c r="O7" i="4"/>
  <c r="AD6" i="4"/>
  <c r="AC6" i="4"/>
  <c r="AB6" i="4"/>
  <c r="AA6" i="4"/>
  <c r="AA70" i="4" s="1"/>
  <c r="Z6" i="4"/>
  <c r="Y6" i="4"/>
  <c r="Y70" i="4" s="1"/>
  <c r="X6" i="4"/>
  <c r="X70" i="4" s="1"/>
  <c r="W6" i="4"/>
  <c r="V6" i="4"/>
  <c r="U6" i="4"/>
  <c r="U70" i="4" s="1"/>
  <c r="T6" i="4"/>
  <c r="T70" i="4" s="1"/>
  <c r="S6" i="4"/>
  <c r="AE6" i="4" s="1"/>
  <c r="O6" i="4"/>
  <c r="AD5" i="4"/>
  <c r="AD23" i="4" s="1"/>
  <c r="AC5" i="4"/>
  <c r="AB5" i="4"/>
  <c r="AA5" i="4"/>
  <c r="AA69" i="4" s="1"/>
  <c r="Z5" i="4"/>
  <c r="Z23" i="4" s="1"/>
  <c r="Y5" i="4"/>
  <c r="X5" i="4"/>
  <c r="W5" i="4"/>
  <c r="V5" i="4"/>
  <c r="V23" i="4" s="1"/>
  <c r="U5" i="4"/>
  <c r="T5" i="4"/>
  <c r="S5" i="4"/>
  <c r="O5" i="4"/>
  <c r="O23" i="4" s="1"/>
  <c r="D76" i="3"/>
  <c r="C76" i="3"/>
  <c r="B76" i="3"/>
  <c r="J75" i="3"/>
  <c r="J77" i="3" s="1"/>
  <c r="F75" i="3"/>
  <c r="F77" i="3" s="1"/>
  <c r="B75" i="3"/>
  <c r="B79" i="3" s="1"/>
  <c r="J73" i="3"/>
  <c r="F73" i="3"/>
  <c r="B73" i="3"/>
  <c r="M71" i="3"/>
  <c r="M75" i="3" s="1"/>
  <c r="M77" i="3" s="1"/>
  <c r="L71" i="3"/>
  <c r="L75" i="3" s="1"/>
  <c r="L77" i="3" s="1"/>
  <c r="K71" i="3"/>
  <c r="K75" i="3" s="1"/>
  <c r="K77" i="3" s="1"/>
  <c r="J71" i="3"/>
  <c r="I71" i="3"/>
  <c r="I75" i="3" s="1"/>
  <c r="I77" i="3" s="1"/>
  <c r="H71" i="3"/>
  <c r="H75" i="3" s="1"/>
  <c r="H77" i="3" s="1"/>
  <c r="G71" i="3"/>
  <c r="G75" i="3" s="1"/>
  <c r="G77" i="3" s="1"/>
  <c r="F71" i="3"/>
  <c r="E71" i="3"/>
  <c r="E75" i="3" s="1"/>
  <c r="E77" i="3" s="1"/>
  <c r="D71" i="3"/>
  <c r="D75" i="3" s="1"/>
  <c r="D77" i="3" s="1"/>
  <c r="C71" i="3"/>
  <c r="C75" i="3" s="1"/>
  <c r="C77" i="3" s="1"/>
  <c r="B71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71" i="3" s="1"/>
  <c r="O50" i="3"/>
  <c r="O49" i="3"/>
  <c r="M45" i="3"/>
  <c r="L45" i="3"/>
  <c r="L47" i="3" s="1"/>
  <c r="L51" i="3" s="1"/>
  <c r="K45" i="3"/>
  <c r="K47" i="3" s="1"/>
  <c r="K51" i="3" s="1"/>
  <c r="J45" i="3"/>
  <c r="J47" i="3" s="1"/>
  <c r="J51" i="3" s="1"/>
  <c r="I45" i="3"/>
  <c r="H45" i="3"/>
  <c r="H47" i="3" s="1"/>
  <c r="H51" i="3" s="1"/>
  <c r="G45" i="3"/>
  <c r="G47" i="3" s="1"/>
  <c r="G51" i="3" s="1"/>
  <c r="F45" i="3"/>
  <c r="F47" i="3" s="1"/>
  <c r="F51" i="3" s="1"/>
  <c r="E45" i="3"/>
  <c r="D45" i="3"/>
  <c r="D47" i="3" s="1"/>
  <c r="D51" i="3" s="1"/>
  <c r="C45" i="3"/>
  <c r="C47" i="3" s="1"/>
  <c r="C51" i="3" s="1"/>
  <c r="B45" i="3"/>
  <c r="B47" i="3" s="1"/>
  <c r="B51" i="3" s="1"/>
  <c r="O44" i="3"/>
  <c r="O43" i="3"/>
  <c r="O42" i="3"/>
  <c r="O41" i="3"/>
  <c r="O40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45" i="3" s="1"/>
  <c r="O23" i="3"/>
  <c r="O22" i="3"/>
  <c r="M21" i="3"/>
  <c r="M47" i="3" s="1"/>
  <c r="M51" i="3" s="1"/>
  <c r="L21" i="3"/>
  <c r="K21" i="3"/>
  <c r="J21" i="3"/>
  <c r="I21" i="3"/>
  <c r="I47" i="3" s="1"/>
  <c r="I51" i="3" s="1"/>
  <c r="H21" i="3"/>
  <c r="G21" i="3"/>
  <c r="F21" i="3"/>
  <c r="E21" i="3"/>
  <c r="E47" i="3" s="1"/>
  <c r="E51" i="3" s="1"/>
  <c r="D21" i="3"/>
  <c r="C21" i="3"/>
  <c r="B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21" i="3" s="1"/>
  <c r="O47" i="3" s="1"/>
  <c r="O51" i="3" s="1"/>
  <c r="B24" i="10" l="1"/>
  <c r="D23" i="10"/>
  <c r="N23" i="10" s="1"/>
  <c r="C24" i="10"/>
  <c r="G24" i="10"/>
  <c r="K24" i="10"/>
  <c r="B35" i="10"/>
  <c r="I13" i="10"/>
  <c r="H24" i="10"/>
  <c r="L24" i="10"/>
  <c r="E24" i="10"/>
  <c r="I24" i="10"/>
  <c r="M24" i="10"/>
  <c r="Y69" i="4"/>
  <c r="AB70" i="4"/>
  <c r="AD69" i="4"/>
  <c r="Z75" i="4"/>
  <c r="S79" i="4"/>
  <c r="S69" i="4"/>
  <c r="AA74" i="4"/>
  <c r="AC70" i="4"/>
  <c r="AA23" i="4"/>
  <c r="AD45" i="4"/>
  <c r="AD66" i="4" s="1"/>
  <c r="O65" i="4"/>
  <c r="O71" i="4"/>
  <c r="S75" i="4"/>
  <c r="X69" i="4"/>
  <c r="V70" i="4"/>
  <c r="Z70" i="4"/>
  <c r="AD70" i="4"/>
  <c r="D66" i="4"/>
  <c r="O66" i="4" s="1"/>
  <c r="H66" i="4"/>
  <c r="L66" i="4"/>
  <c r="W71" i="4"/>
  <c r="AE33" i="4"/>
  <c r="AE42" i="4"/>
  <c r="S45" i="4"/>
  <c r="AA45" i="4"/>
  <c r="AA66" i="4" s="1"/>
  <c r="T44" i="4"/>
  <c r="T22" i="4"/>
  <c r="T23" i="4" s="1"/>
  <c r="T41" i="4"/>
  <c r="T39" i="4"/>
  <c r="AE39" i="4" s="1"/>
  <c r="T36" i="4"/>
  <c r="T34" i="4"/>
  <c r="T32" i="4"/>
  <c r="T30" i="4"/>
  <c r="AE30" i="4" s="1"/>
  <c r="T28" i="4"/>
  <c r="T79" i="4" s="1"/>
  <c r="X44" i="4"/>
  <c r="X22" i="4"/>
  <c r="X75" i="4" s="1"/>
  <c r="X41" i="4"/>
  <c r="X39" i="4"/>
  <c r="X36" i="4"/>
  <c r="X34" i="4"/>
  <c r="X32" i="4"/>
  <c r="X79" i="4" s="1"/>
  <c r="X30" i="4"/>
  <c r="X28" i="4"/>
  <c r="AB44" i="4"/>
  <c r="AB22" i="4"/>
  <c r="AB75" i="4" s="1"/>
  <c r="AB20" i="4"/>
  <c r="AB41" i="4"/>
  <c r="AB39" i="4"/>
  <c r="AB36" i="4"/>
  <c r="AB72" i="4" s="1"/>
  <c r="AB34" i="4"/>
  <c r="AB32" i="4"/>
  <c r="AB30" i="4"/>
  <c r="AB28" i="4"/>
  <c r="AE28" i="4" s="1"/>
  <c r="Z69" i="4"/>
  <c r="S70" i="4"/>
  <c r="O74" i="4"/>
  <c r="V75" i="4"/>
  <c r="AD75" i="4"/>
  <c r="AE105" i="4"/>
  <c r="X23" i="4"/>
  <c r="V69" i="4"/>
  <c r="V74" i="4" s="1"/>
  <c r="AA79" i="4"/>
  <c r="W69" i="4"/>
  <c r="W74" i="4" s="1"/>
  <c r="AE5" i="4"/>
  <c r="S23" i="4"/>
  <c r="V45" i="4"/>
  <c r="V66" i="4" s="1"/>
  <c r="AE44" i="4"/>
  <c r="O72" i="4"/>
  <c r="AA75" i="4"/>
  <c r="V79" i="4"/>
  <c r="O105" i="4"/>
  <c r="AB69" i="4"/>
  <c r="U23" i="4"/>
  <c r="E66" i="4"/>
  <c r="I66" i="4"/>
  <c r="M66" i="4"/>
  <c r="W23" i="4"/>
  <c r="Z45" i="4"/>
  <c r="Z66" i="4" s="1"/>
  <c r="AE35" i="4"/>
  <c r="Z72" i="4"/>
  <c r="S66" i="4"/>
  <c r="W66" i="4"/>
  <c r="AE65" i="4"/>
  <c r="U41" i="4"/>
  <c r="U39" i="4"/>
  <c r="U36" i="4"/>
  <c r="U34" i="4"/>
  <c r="U32" i="4"/>
  <c r="U30" i="4"/>
  <c r="U79" i="4" s="1"/>
  <c r="U28" i="4"/>
  <c r="U75" i="4" s="1"/>
  <c r="U43" i="4"/>
  <c r="AE43" i="4" s="1"/>
  <c r="Y41" i="4"/>
  <c r="Y39" i="4"/>
  <c r="Y36" i="4"/>
  <c r="Y34" i="4"/>
  <c r="Y32" i="4"/>
  <c r="Y30" i="4"/>
  <c r="Y79" i="4" s="1"/>
  <c r="Y28" i="4"/>
  <c r="Y43" i="4"/>
  <c r="Y21" i="4"/>
  <c r="AE21" i="4" s="1"/>
  <c r="AC41" i="4"/>
  <c r="AC39" i="4"/>
  <c r="AC36" i="4"/>
  <c r="AC34" i="4"/>
  <c r="AC32" i="4"/>
  <c r="AC79" i="4" s="1"/>
  <c r="AC30" i="4"/>
  <c r="AC28" i="4"/>
  <c r="AC43" i="4"/>
  <c r="AC21" i="4"/>
  <c r="AC23" i="4" s="1"/>
  <c r="U69" i="4"/>
  <c r="V71" i="4"/>
  <c r="AD71" i="4"/>
  <c r="W75" i="4"/>
  <c r="C79" i="3"/>
  <c r="D79" i="3" s="1"/>
  <c r="E79" i="3" s="1"/>
  <c r="F79" i="3" s="1"/>
  <c r="G79" i="3" s="1"/>
  <c r="H79" i="3" s="1"/>
  <c r="I79" i="3" s="1"/>
  <c r="J79" i="3" s="1"/>
  <c r="K79" i="3" s="1"/>
  <c r="L79" i="3" s="1"/>
  <c r="M79" i="3" s="1"/>
  <c r="B77" i="3"/>
  <c r="C73" i="3"/>
  <c r="G73" i="3"/>
  <c r="K73" i="3"/>
  <c r="O75" i="3"/>
  <c r="D73" i="3"/>
  <c r="H73" i="3"/>
  <c r="L73" i="3"/>
  <c r="E73" i="3"/>
  <c r="I73" i="3"/>
  <c r="M73" i="3"/>
  <c r="B37" i="10" l="1"/>
  <c r="N37" i="10" s="1"/>
  <c r="N35" i="10"/>
  <c r="D24" i="10"/>
  <c r="N24" i="10" s="1"/>
  <c r="Y75" i="4"/>
  <c r="AE79" i="4"/>
  <c r="AE22" i="4"/>
  <c r="AE32" i="4"/>
  <c r="T75" i="4"/>
  <c r="AE75" i="4" s="1"/>
  <c r="AB23" i="4"/>
  <c r="AC69" i="4"/>
  <c r="AC45" i="4"/>
  <c r="AC66" i="4" s="1"/>
  <c r="AC71" i="4"/>
  <c r="AC72" i="4"/>
  <c r="AC75" i="4"/>
  <c r="AE70" i="4"/>
  <c r="X71" i="4"/>
  <c r="X74" i="4" s="1"/>
  <c r="X45" i="4"/>
  <c r="X66" i="4" s="1"/>
  <c r="X72" i="4"/>
  <c r="AE34" i="4"/>
  <c r="T69" i="4"/>
  <c r="AD74" i="4"/>
  <c r="AB71" i="4"/>
  <c r="AB74" i="4" s="1"/>
  <c r="AB45" i="4"/>
  <c r="AB66" i="4" s="1"/>
  <c r="AE41" i="4"/>
  <c r="Y45" i="4"/>
  <c r="Y66" i="4" s="1"/>
  <c r="Y71" i="4"/>
  <c r="Y74" i="4" s="1"/>
  <c r="Y72" i="4"/>
  <c r="U45" i="4"/>
  <c r="U66" i="4" s="1"/>
  <c r="U71" i="4"/>
  <c r="U74" i="4" s="1"/>
  <c r="U72" i="4"/>
  <c r="Y23" i="4"/>
  <c r="AE23" i="4"/>
  <c r="Z74" i="4"/>
  <c r="AB79" i="4"/>
  <c r="T71" i="4"/>
  <c r="T45" i="4"/>
  <c r="T66" i="4" s="1"/>
  <c r="AE66" i="4" s="1"/>
  <c r="T72" i="4"/>
  <c r="AE72" i="4" s="1"/>
  <c r="AE36" i="4"/>
  <c r="AE20" i="4"/>
  <c r="S74" i="4"/>
  <c r="AE45" i="4" l="1"/>
  <c r="AE71" i="4"/>
  <c r="AC74" i="4"/>
  <c r="AE74" i="4"/>
  <c r="T74" i="4"/>
  <c r="AE69" i="4"/>
  <c r="D10" i="1" l="1"/>
  <c r="D14" i="1"/>
  <c r="D13" i="1"/>
  <c r="D11" i="1"/>
  <c r="E7" i="1"/>
  <c r="E6" i="1"/>
  <c r="E4" i="1"/>
  <c r="E3" i="1"/>
  <c r="B48" i="1" l="1"/>
  <c r="B43" i="1"/>
  <c r="B46" i="1"/>
  <c r="B40" i="1"/>
  <c r="B35" i="1"/>
  <c r="E34" i="1" s="1"/>
  <c r="B38" i="1"/>
  <c r="B26" i="1"/>
  <c r="B30" i="1"/>
  <c r="B52" i="1" l="1"/>
  <c r="E42" i="1"/>
  <c r="B54" i="1" s="1"/>
  <c r="E51" i="1" l="1"/>
</calcChain>
</file>

<file path=xl/sharedStrings.xml><?xml version="1.0" encoding="utf-8"?>
<sst xmlns="http://schemas.openxmlformats.org/spreadsheetml/2006/main" count="1011" uniqueCount="428">
  <si>
    <t>Grid Purchased Electricity - Performance Year (FY15/16)</t>
  </si>
  <si>
    <t xml:space="preserve">Grid Purchased Electricity - Baseline Year (FY10/11) </t>
  </si>
  <si>
    <t>kWh</t>
  </si>
  <si>
    <t>MMBtu</t>
  </si>
  <si>
    <t>District (on-site) Steam/Hot Water - Performance Year (FY15/16)</t>
  </si>
  <si>
    <t>Consumption</t>
  </si>
  <si>
    <t>Units</t>
  </si>
  <si>
    <t>Lbs.</t>
  </si>
  <si>
    <t>Produced/Consumed</t>
  </si>
  <si>
    <t>ENERGY Portion of Survey:</t>
  </si>
  <si>
    <t>District (on-site) Steam/Hot Water - Baseline Year (FY10/11)</t>
  </si>
  <si>
    <t>Source Site Ratio for grid-purchased electricity</t>
  </si>
  <si>
    <t>Energy from all other sources - Performance Year (FY15/16)</t>
  </si>
  <si>
    <t>Degree Days - Performance Year  (FY15/16)</t>
  </si>
  <si>
    <t>Degree Days - Baseline Year (FY10/11)</t>
  </si>
  <si>
    <t>Energy from all other sources - Baseline Year (FY10/11)</t>
  </si>
  <si>
    <t xml:space="preserve">       Natural Gas = Heating Plant </t>
  </si>
  <si>
    <t xml:space="preserve">     District = produce steam/hot water from central plant</t>
  </si>
  <si>
    <t xml:space="preserve">      Domestic Gas</t>
  </si>
  <si>
    <t>Therm</t>
  </si>
  <si>
    <t>Dthm</t>
  </si>
  <si>
    <t>TOTAL - Energy all other sources - Baseline Year (FY10/11)</t>
  </si>
  <si>
    <t>TOTAL - Energy all other sources - Performance Year (FY15/16)</t>
  </si>
  <si>
    <t>Heating</t>
  </si>
  <si>
    <t>Cooling</t>
  </si>
  <si>
    <t>A= Grid Purchased Electricity (MMBtu)</t>
  </si>
  <si>
    <t>(A x B) +C + (D X E) + F</t>
  </si>
  <si>
    <t>B=Source-Site Ratio for Grid Purchased Electricity</t>
  </si>
  <si>
    <t>C=Electricity from On-Site renewables</t>
  </si>
  <si>
    <t>D=District Steam/Hot Water</t>
  </si>
  <si>
    <t>E=Source-Site Ratio for Grid Purchased District Steam/Hot Water</t>
  </si>
  <si>
    <t>Baseline Year:</t>
  </si>
  <si>
    <t>=</t>
  </si>
  <si>
    <t>F=Energy from All Other Sources</t>
  </si>
  <si>
    <t>Performance Year:</t>
  </si>
  <si>
    <t xml:space="preserve">Total Building Energy Consumption (source energy):  </t>
  </si>
  <si>
    <t>6 x (((A/B)-(C/D))/(A/B))</t>
  </si>
  <si>
    <t>A=Total Building Energy Consumption (source energy), baseline year</t>
  </si>
  <si>
    <t>B=Gross square feet of building space, baseline year</t>
  </si>
  <si>
    <t>C=Total building energy consumption (source energy), performance year</t>
  </si>
  <si>
    <t>D=Gross square feet of building space, performance year</t>
  </si>
  <si>
    <t>Part 2:  Points Earned:</t>
  </si>
  <si>
    <t xml:space="preserve">Part 1:  Points Earned: </t>
  </si>
  <si>
    <t>B=total building energy consumption (site energy), performance year</t>
  </si>
  <si>
    <t>C=EUI-adjusted floor area, performance year (gross square foot)</t>
  </si>
  <si>
    <t>D=Total degree days, performance year (heating + cooling)</t>
  </si>
  <si>
    <t>3.5 x ((A)-((B/C)/D))/A</t>
  </si>
  <si>
    <t>A=Minimum performance threshold (MMBtu per square foot/degree day)</t>
  </si>
  <si>
    <t>TOTAL MMBtu Baseline Year (FY10/11)</t>
  </si>
  <si>
    <t>TOTAL MMBtu Performance Year (15/16)</t>
  </si>
  <si>
    <t>WATER</t>
  </si>
  <si>
    <t>(Actual)</t>
  </si>
  <si>
    <t>CONSUMPTION</t>
  </si>
  <si>
    <t>FY10/11</t>
  </si>
  <si>
    <t>Secondary Water Allocation</t>
  </si>
  <si>
    <t>Usage</t>
  </si>
  <si>
    <t>Cost</t>
  </si>
  <si>
    <t>TOTAL</t>
  </si>
  <si>
    <t>Building</t>
  </si>
  <si>
    <t>100 CF</t>
  </si>
  <si>
    <t xml:space="preserve">PEIF                                 </t>
  </si>
  <si>
    <t xml:space="preserve">Berry Events Center           </t>
  </si>
  <si>
    <t>Cohodas - Main</t>
  </si>
  <si>
    <t>Cohodas - Sprinkler</t>
  </si>
  <si>
    <t>Carey Hall</t>
  </si>
  <si>
    <t>Lee Hall</t>
  </si>
  <si>
    <t>Art Annex</t>
  </si>
  <si>
    <t>Hedgcock Fieldhouse</t>
  </si>
  <si>
    <t>Fine Arts - Main</t>
  </si>
  <si>
    <t>Fine Arts - AC</t>
  </si>
  <si>
    <t xml:space="preserve">New Science Facility         </t>
  </si>
  <si>
    <t xml:space="preserve">West Science Facility        </t>
  </si>
  <si>
    <t>Learning Resources</t>
  </si>
  <si>
    <t>Jamrich Hall</t>
  </si>
  <si>
    <t>Gries Hall</t>
  </si>
  <si>
    <t>Whitman Hall</t>
  </si>
  <si>
    <t>Quad I - Housing (63%)</t>
  </si>
  <si>
    <t xml:space="preserve">          Gant Hall (25% of 63%)</t>
  </si>
  <si>
    <t xml:space="preserve">          Spalding Hall (25% of 63%)</t>
  </si>
  <si>
    <t xml:space="preserve">          Payne Hall (25% of 63%)</t>
  </si>
  <si>
    <t xml:space="preserve">          Halverson Hall (25% of 63%)</t>
  </si>
  <si>
    <t>Quad I - Food Service (37%)</t>
  </si>
  <si>
    <t>Magers (Quad II)                     TOTALIZER</t>
  </si>
  <si>
    <t>Meyland</t>
  </si>
  <si>
    <t>University Center/Food Service (Split 86%)</t>
  </si>
  <si>
    <t>University Center                       (Split 14%)</t>
  </si>
  <si>
    <t>Dome (North)</t>
  </si>
  <si>
    <t>Dome (South)</t>
  </si>
  <si>
    <t>West Hall</t>
  </si>
  <si>
    <t>Spooner Hall</t>
  </si>
  <si>
    <t>1601 Lincoln Apt. (100 CF)</t>
  </si>
  <si>
    <t>1701 Lincoln Apt. (100 CF)</t>
  </si>
  <si>
    <t>Summit Apt. (100 CF) x10</t>
  </si>
  <si>
    <t>Norwood Apt. (100 CF)</t>
  </si>
  <si>
    <t>Hunt</t>
  </si>
  <si>
    <t>Van Antwerp</t>
  </si>
  <si>
    <t>Woodland Apts (high meter)</t>
  </si>
  <si>
    <t>Woodland Apts (low meter)</t>
  </si>
  <si>
    <t>Note variances in usage: Building accumulations are off building meters/primary meter is direct billed from City</t>
  </si>
  <si>
    <t>MASTER CONSUMPTION (FY1011)</t>
  </si>
  <si>
    <t>MASTER CONSUMPTION (FY0910)</t>
  </si>
  <si>
    <t>VARIANCE BETWEEN MASTER &amp; METERS</t>
  </si>
  <si>
    <t>Direct Billed Water</t>
  </si>
  <si>
    <t>Kaye House (Presidents res.) 1440 Center St.</t>
  </si>
  <si>
    <t>1716 Presque Isle - Rental</t>
  </si>
  <si>
    <t>Grounds Butler/1321 Wright Street</t>
  </si>
  <si>
    <t>Heating Plant - Main</t>
  </si>
  <si>
    <t xml:space="preserve">Heating Plant - Blowdown </t>
  </si>
  <si>
    <t>Heating Plant - Brine</t>
  </si>
  <si>
    <t>Service Building (2074 Sugarloaf)</t>
  </si>
  <si>
    <t>Jacobetti Center - Main</t>
  </si>
  <si>
    <t>1010 Wright Street</t>
  </si>
  <si>
    <t>1230 Center Street Apt.</t>
  </si>
  <si>
    <t>1500 Wilkinson</t>
  </si>
  <si>
    <t>300 Waldo</t>
  </si>
  <si>
    <t>1716 Schaffer Ave.</t>
  </si>
  <si>
    <t>2075 Sugarloaf Ave.</t>
  </si>
  <si>
    <t>1422 Presque Isle (Hardee's Building)</t>
  </si>
  <si>
    <t>DIRECT BILLED TOTAL</t>
  </si>
  <si>
    <t>DIRECT BILLED TOTAL FY0910</t>
  </si>
  <si>
    <t>VARIANCE</t>
  </si>
  <si>
    <t>TOTAL FY1011</t>
  </si>
  <si>
    <t>TOTAL FY0910</t>
  </si>
  <si>
    <t>CUMMULATIVE TOTAL FY1011</t>
  </si>
  <si>
    <t>WATER CONSUMPTION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</si>
  <si>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</si>
  <si>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</si>
  <si>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</si>
  <si>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</si>
  <si>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</si>
  <si>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</si>
  <si>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</si>
  <si>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</si>
  <si>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</si>
  <si>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</si>
  <si>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</si>
  <si>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</si>
  <si>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WATER COST ALLOCATION</t>
  </si>
  <si>
    <t>ccf</t>
  </si>
  <si>
    <t>CCF</t>
  </si>
  <si>
    <t>(6/15-7/15)</t>
  </si>
  <si>
    <t>(5/15-6/15)</t>
  </si>
  <si>
    <t>(4/15-5/15)</t>
  </si>
  <si>
    <t>(3/15-4/15)</t>
  </si>
  <si>
    <t>(2/15-3/15)</t>
  </si>
  <si>
    <t>(1/15-2/15)</t>
  </si>
  <si>
    <t>(12/15-01/15)</t>
  </si>
  <si>
    <t>(11/15-12/15)</t>
  </si>
  <si>
    <t>(10/15-11/15)</t>
  </si>
  <si>
    <t>(9/15-10/15)</t>
  </si>
  <si>
    <t>(8/15-9/15)</t>
  </si>
  <si>
    <t>(7/15-8/15)</t>
  </si>
  <si>
    <t>(12/15-11/15)</t>
  </si>
  <si>
    <t>State Academic Building</t>
  </si>
  <si>
    <t>Art &amp; Design North</t>
  </si>
  <si>
    <t>Berry Events Center &amp; Generator/Roof Top Units</t>
  </si>
  <si>
    <t>Cohodas</t>
  </si>
  <si>
    <t>Gries Hall/Gries Link &amp; Health Center</t>
  </si>
  <si>
    <t xml:space="preserve">Heating Plant                               </t>
  </si>
  <si>
    <t>Direct Billed</t>
  </si>
  <si>
    <t xml:space="preserve">Heating Plant                                        </t>
  </si>
  <si>
    <t>Hedgcock &amp; TFA/Hedgcock Link</t>
  </si>
  <si>
    <t xml:space="preserve">Jacobetti Center &amp; Storage                    </t>
  </si>
  <si>
    <t xml:space="preserve">Jacobetti Center &amp; Storage                      </t>
  </si>
  <si>
    <t>N/A</t>
  </si>
  <si>
    <t>New Jamrich Hall</t>
  </si>
  <si>
    <t>Learning Resources Center</t>
  </si>
  <si>
    <t>Lee Hall / Lee Hall Pavillion</t>
  </si>
  <si>
    <t>New Science Facility</t>
  </si>
  <si>
    <t>PEIF</t>
  </si>
  <si>
    <t>PFA/McClintock/Forest Roberts</t>
  </si>
  <si>
    <t xml:space="preserve">Services Building                          </t>
  </si>
  <si>
    <t xml:space="preserve">Services Building                                 </t>
  </si>
  <si>
    <t>Superior Dome &amp; PEIF/Dome Link &amp; Storage</t>
  </si>
  <si>
    <t>West Science &amp; LRC/WS Tunnel</t>
  </si>
  <si>
    <t xml:space="preserve">Whitman </t>
  </si>
  <si>
    <t>Auxilary Buildings</t>
  </si>
  <si>
    <t xml:space="preserve">1422 Presque Isle (Temaki &amp; Tea) </t>
  </si>
  <si>
    <t xml:space="preserve">1422 Presque Isle (Temaki &amp; Tea)        </t>
  </si>
  <si>
    <t xml:space="preserve">1500 Wilkinson                               </t>
  </si>
  <si>
    <t xml:space="preserve">1500 Wilkinson                                  </t>
  </si>
  <si>
    <t xml:space="preserve">Center Apartments                      </t>
  </si>
  <si>
    <t xml:space="preserve">Center Apartments                       </t>
  </si>
  <si>
    <t>Gant Hall   (25% of 68% QI)</t>
  </si>
  <si>
    <t>Halverson Hall  (25% of 68% QI)</t>
  </si>
  <si>
    <t>Hunt Hall  (50% of Van Anterwp)</t>
  </si>
  <si>
    <t xml:space="preserve">Lincoln Apt.'s/Laundry                                               </t>
  </si>
  <si>
    <t>Magers Hall (50% of Meyland)</t>
  </si>
  <si>
    <t xml:space="preserve">Meyland Hall (50% of Magers)      </t>
  </si>
  <si>
    <t xml:space="preserve">Norwood                                                 </t>
  </si>
  <si>
    <t>Payne Hall   (25% of 68% QI)</t>
  </si>
  <si>
    <t>Quad I/ Food Service   (32% of QI)</t>
  </si>
  <si>
    <t>Quad II</t>
  </si>
  <si>
    <t>Spalding Hall   (25% of 68% QI)</t>
  </si>
  <si>
    <t xml:space="preserve">Summit Apartments                                 </t>
  </si>
  <si>
    <t>University Center</t>
  </si>
  <si>
    <t>University Center (86% to FS/14% to Hse)</t>
  </si>
  <si>
    <t>Van Antwerp Hall (50% of Hunt)</t>
  </si>
  <si>
    <t>Woodland Apartments</t>
  </si>
  <si>
    <t>On Campus Non-Academic</t>
  </si>
  <si>
    <t xml:space="preserve">1010 Wright Street (Chase Levy Bldg.)     </t>
  </si>
  <si>
    <t xml:space="preserve">1020 Wright Street (Storage Bldg.)            </t>
  </si>
  <si>
    <t xml:space="preserve">Bus Garage (1901 Enterprise)                   </t>
  </si>
  <si>
    <t xml:space="preserve">Grounds Butler (Wright Street)               </t>
  </si>
  <si>
    <t xml:space="preserve">Kaye House                                           </t>
  </si>
  <si>
    <t>Off Campus Non-Academic</t>
  </si>
  <si>
    <t>LRC Signal Tower (Morgan Meadows #1)</t>
  </si>
  <si>
    <t>LRC Signal Tower</t>
  </si>
  <si>
    <t xml:space="preserve">LRC Signal Tower (Morgan Meadows #2) </t>
  </si>
  <si>
    <t xml:space="preserve">U.S. 41 Tower                                        </t>
  </si>
  <si>
    <t xml:space="preserve">5 M.V.L.                                                </t>
  </si>
  <si>
    <t>1400 Presque Isle (Mbank Bldg)</t>
  </si>
  <si>
    <t>1400 Presque Isle (Mbank Bldg.)</t>
  </si>
  <si>
    <t>Rentals</t>
  </si>
  <si>
    <t xml:space="preserve">1716 Presque Isle                                   </t>
  </si>
  <si>
    <t>1716 Presque Isle, Apt. #1</t>
  </si>
  <si>
    <t xml:space="preserve">1716 Schaffer Ave.                                 </t>
  </si>
  <si>
    <t xml:space="preserve">1804 Tracey Avenue                               </t>
  </si>
  <si>
    <t xml:space="preserve">2075 Sugarloaf                                      </t>
  </si>
  <si>
    <t xml:space="preserve">300 Waldo </t>
  </si>
  <si>
    <t xml:space="preserve">300 Waldo                                              </t>
  </si>
  <si>
    <t>TOTAL OTHER</t>
  </si>
  <si>
    <t>UNIVERSITY TOTAL (including directs)</t>
  </si>
  <si>
    <t>UNIVERSITY TOTAL</t>
  </si>
  <si>
    <t>NMU (METERD) BUILDING TOTAL FY15/16</t>
  </si>
  <si>
    <t>Corrected Quad I on 4/22/16</t>
  </si>
  <si>
    <r>
      <t>READS: (</t>
    </r>
    <r>
      <rPr>
        <i/>
        <sz val="12"/>
        <color theme="1"/>
        <rFont val="Arial Narrow"/>
        <family val="2"/>
      </rPr>
      <t>Difference between master &amp; NMU</t>
    </r>
    <r>
      <rPr>
        <sz val="12"/>
        <color theme="1"/>
        <rFont val="Arial Narrow"/>
        <family val="2"/>
      </rPr>
      <t>)</t>
    </r>
  </si>
  <si>
    <t>Avg.</t>
  </si>
  <si>
    <t>ON-CAMPUS</t>
  </si>
  <si>
    <t>NMU MASTER METER READ TOTAL FY15/16</t>
  </si>
  <si>
    <t>State Academic &amp; Services Buildings</t>
  </si>
  <si>
    <t>CITY MASTER TOTAL FY15/16 (Off Bill)</t>
  </si>
  <si>
    <t>Athletic Buildings</t>
  </si>
  <si>
    <t>DIRECT BILLED TOTAL FY15/16</t>
  </si>
  <si>
    <t>Auxilary Buildings - Housing</t>
  </si>
  <si>
    <t>Auxilary Buildings - Dining</t>
  </si>
  <si>
    <t>Corrected Quad I &amp; West Hall 5/25/16</t>
  </si>
  <si>
    <t>Other</t>
  </si>
  <si>
    <r>
      <t>READS: (</t>
    </r>
    <r>
      <rPr>
        <i/>
        <sz val="12"/>
        <rFont val="Arial Narrow"/>
        <family val="2"/>
      </rPr>
      <t>Difference between master &amp; NMU</t>
    </r>
    <r>
      <rPr>
        <sz val="12"/>
        <rFont val="Arial Narrow"/>
        <family val="2"/>
      </rPr>
      <t>)</t>
    </r>
  </si>
  <si>
    <t>REPORT TOTAL</t>
  </si>
  <si>
    <t>NMU MASTER METER READ TOTAL FY14/15</t>
  </si>
  <si>
    <t>Campus Building Total (Check figure w/ Master)</t>
  </si>
  <si>
    <t>CITY MASTER TOTAL FY14/15 (Off Bill)</t>
  </si>
  <si>
    <t>CAMPUS MASTER BILL FY15/16</t>
  </si>
  <si>
    <t>DIRECT BILLED TOTAL FY14/15</t>
  </si>
  <si>
    <t>DIRECT BILLS</t>
  </si>
  <si>
    <t>Journal Entries Total:</t>
  </si>
  <si>
    <t>Storm Water:</t>
  </si>
  <si>
    <t>NMU MASTER METER READ TOTAL FY13/14</t>
  </si>
  <si>
    <t>CITY MASTER TOTAL FY13/14 (Off Bill)</t>
  </si>
  <si>
    <t>DIRECT BILLED TOTAL FY13/14</t>
  </si>
  <si>
    <t>CAMPUS MASTER BILL FY14/15</t>
  </si>
  <si>
    <t>NMU MASTER TOTAL FY12/13</t>
  </si>
  <si>
    <t>CITY MASTER TOTAL FY12/13 (Off Bill)</t>
  </si>
  <si>
    <t>DIRECT BILLED TOTAL FY12/13</t>
  </si>
  <si>
    <t>CAMPUS MASTER BILL FY13/14</t>
  </si>
  <si>
    <t>FY15/16</t>
  </si>
  <si>
    <t>(06/15-07/15)</t>
  </si>
  <si>
    <t>(05/15-06/15)</t>
  </si>
  <si>
    <t>(04/15-05/15)</t>
  </si>
  <si>
    <t>(03/15-04/15)</t>
  </si>
  <si>
    <t>(02/15-03/15)</t>
  </si>
  <si>
    <t>(01/15-02/15)</t>
  </si>
  <si>
    <t>Chiller &amp; Irrigation Meters:</t>
  </si>
  <si>
    <t xml:space="preserve">   Berry Cooling Tower</t>
  </si>
  <si>
    <t xml:space="preserve">   Cohodas Cooling Tower</t>
  </si>
  <si>
    <t xml:space="preserve">   Cohodas Irrigation</t>
  </si>
  <si>
    <t xml:space="preserve">   Hedgcock Cooling Tower</t>
  </si>
  <si>
    <t xml:space="preserve">   Jacobetti Cooling Tower</t>
  </si>
  <si>
    <t>CAMPUS MASTER BILL FY12/13</t>
  </si>
  <si>
    <t xml:space="preserve">   Jamrich Hall Cooling Tower</t>
  </si>
  <si>
    <t xml:space="preserve">   Learning Resources Cooling Tower</t>
  </si>
  <si>
    <t xml:space="preserve">   New Science Facility Cooling Tower</t>
  </si>
  <si>
    <t xml:space="preserve">   T/FA Cooling Tower</t>
  </si>
  <si>
    <t xml:space="preserve">   Services Building Irrigation</t>
  </si>
  <si>
    <t xml:space="preserve">   University Center Irrigation</t>
  </si>
  <si>
    <t>CAMPUS MASTER BILL FY11/12</t>
  </si>
  <si>
    <t xml:space="preserve">   University Center Cooling Tower</t>
  </si>
  <si>
    <t>(+) Hose Bib Credit for Summer</t>
  </si>
  <si>
    <t>Building Secondary Total</t>
  </si>
  <si>
    <t xml:space="preserve"> </t>
  </si>
  <si>
    <t>Gas Cost</t>
  </si>
  <si>
    <t>Total</t>
  </si>
  <si>
    <t>CONVERSION KEY:</t>
  </si>
  <si>
    <t>MMBtu = Thousand, Thousand Btu's (or) Million Btu's (MBtu)</t>
  </si>
  <si>
    <t>Dthm = also equals an MMBtu (or Mbtu)</t>
  </si>
  <si>
    <t>kWh = 3,412 Btu's (x 1,000 = MMBtu (or MBtu))</t>
  </si>
  <si>
    <t>Gallon/#2 Fuel Oil x .141 = MMBtu (or MBtu)</t>
  </si>
  <si>
    <t>MMBtu formula for wood = (8500 x (1- Moisture%)) x # of wood /1,000,000</t>
  </si>
  <si>
    <t>HEATING PLANT FUEL DATA</t>
  </si>
  <si>
    <t xml:space="preserve">Note:  Corrected using new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</si>
  <si>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</si>
  <si>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</si>
  <si>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</si>
  <si>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</si>
  <si>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</si>
  <si>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</si>
  <si>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</si>
  <si>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</si>
  <si>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</si>
  <si>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</si>
  <si>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</si>
  <si>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</si>
  <si>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Average Moisture Content</t>
  </si>
  <si>
    <t>Wood Consumed/lbs.</t>
  </si>
  <si>
    <t>Wood Consumbed/Tons</t>
  </si>
  <si>
    <t>MMBtu Wood Consumed</t>
  </si>
  <si>
    <t>Wood Cost</t>
  </si>
  <si>
    <t>MMBtu $/Wood (Net)</t>
  </si>
  <si>
    <t>MMBtu Gas Consumed (off bill)</t>
  </si>
  <si>
    <t>MMBtu $/Gas (Net)</t>
  </si>
  <si>
    <t>Dthm Gas/off bill</t>
  </si>
  <si>
    <t>Oil Consumed (Gallons)</t>
  </si>
  <si>
    <t xml:space="preserve">MMBtu/Oil </t>
  </si>
  <si>
    <t>Oil Cost (FIFO Method)</t>
  </si>
  <si>
    <t>MMBtu $/Oil (Net)</t>
  </si>
  <si>
    <t>Total Fuel Cost</t>
  </si>
  <si>
    <t>Total Combined MMBtu Consumed</t>
  </si>
  <si>
    <t>Total MMBtu $/Cost</t>
  </si>
  <si>
    <t>Total Steam:  Gas Boilers (MMBtu)</t>
  </si>
  <si>
    <t>Total Steam:  Wood Boiler (MMBtu)</t>
  </si>
  <si>
    <t xml:space="preserve">Total MMBtu of Steam Produced </t>
  </si>
  <si>
    <t>Total Cost per Pound of Steam</t>
  </si>
  <si>
    <t>Electricity Used:</t>
  </si>
  <si>
    <t>Old Plant kWh</t>
  </si>
  <si>
    <t>New Plant kWh</t>
  </si>
  <si>
    <t>Electricity Produced kWh</t>
  </si>
  <si>
    <t>Net Electricity Consumed/Produced (-)</t>
  </si>
  <si>
    <t>Est. Cost at .096 per kWh</t>
  </si>
  <si>
    <t>Total Fuel and Electrical Cost</t>
  </si>
  <si>
    <t>Past Steam Production (lbs.)</t>
  </si>
  <si>
    <t>FY2014/2015</t>
  </si>
  <si>
    <t>FY2013/2014</t>
  </si>
  <si>
    <t>FY2012/2013</t>
  </si>
  <si>
    <t>FY2011/2012</t>
  </si>
  <si>
    <t>FY2010/2011</t>
  </si>
  <si>
    <t>FY2010/2009</t>
  </si>
  <si>
    <t>Past Steam Production (MMBtu)</t>
  </si>
  <si>
    <t>Past Electrical Consumption (kWh)</t>
  </si>
  <si>
    <t>SUMMARY WORKSHEET:</t>
  </si>
  <si>
    <t>COST</t>
  </si>
  <si>
    <t>Electrical</t>
  </si>
  <si>
    <t>Water</t>
  </si>
  <si>
    <t>Domestic Fuel</t>
  </si>
  <si>
    <r>
      <t>Total Fuel</t>
    </r>
    <r>
      <rPr>
        <b/>
        <sz val="12"/>
        <rFont val="Calibri"/>
        <family val="2"/>
        <scheme val="minor"/>
      </rPr>
      <t xml:space="preserve">   (includes Natural Gas, Oil &amp; Wood)</t>
    </r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</si>
  <si>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</si>
  <si>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</si>
  <si>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</si>
  <si>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</si>
  <si>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</si>
  <si>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</si>
  <si>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</si>
  <si>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</si>
  <si>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</si>
  <si>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</si>
  <si>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</si>
  <si>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</si>
  <si>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</si>
  <si>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13 year Average</t>
  </si>
  <si>
    <t>Comsumption</t>
  </si>
  <si>
    <t>Electric/kWh</t>
  </si>
  <si>
    <t>Water / CCF</t>
  </si>
  <si>
    <t>Domestic Fuel/Thm</t>
  </si>
  <si>
    <t>Total Fuel/MMBtu</t>
  </si>
  <si>
    <t xml:space="preserve">Note:  </t>
  </si>
  <si>
    <t>Recording "billed" consumption starting in 2015/2016 to match monthly reporting</t>
  </si>
  <si>
    <t>Billed Consumption in 2014/2015 = 33,613,103 kWh, 90,188 CCF</t>
  </si>
  <si>
    <t>Billed Consumption in 2013/2014 = 33,910,465 kWh, 100,481 CCF</t>
  </si>
  <si>
    <t>Billed Consumption in 2012/2013 = 33,439,713 kWh</t>
  </si>
  <si>
    <t>Billed Consumption in 2011/2012 = 35,582,004 kWh</t>
  </si>
  <si>
    <t>Billed Consumption in 2009/2010 = 37,622,627 kWh</t>
  </si>
  <si>
    <t>Billed Consumption in 2008/2009 =  N/A, 105,961 CCF</t>
  </si>
  <si>
    <t>Billed Consumption in 2007/2008 =  N/A</t>
  </si>
  <si>
    <t>Billed Consumption in 2006/2007 =  N/A</t>
  </si>
  <si>
    <t>Billed Consumption in 2005/2006 =  N/A</t>
  </si>
  <si>
    <t>Billed Consumption in 2004/2005 =  N/A</t>
  </si>
  <si>
    <t>Billed Consumption in 2003/2004 =  N/A</t>
  </si>
  <si>
    <t>Electrical  Usage Change %</t>
  </si>
  <si>
    <t>Water Usage Change %</t>
  </si>
  <si>
    <t>Domestic Fuel Usage Change %</t>
  </si>
  <si>
    <t>Total Fuel Usage Change %</t>
  </si>
  <si>
    <t>% change is from the previous year</t>
  </si>
  <si>
    <t>Billed Consumption in 2010/2011 = 36,738,876 kWh</t>
  </si>
  <si>
    <t>Total Points Earned</t>
  </si>
  <si>
    <t>CLEAN AND RENEWABLE ENERGY Portion of Survey:</t>
  </si>
  <si>
    <t>A.</t>
  </si>
  <si>
    <t>Performance Year FY13/14</t>
  </si>
  <si>
    <t>B.</t>
  </si>
  <si>
    <t xml:space="preserve">Domestic = </t>
  </si>
  <si>
    <t xml:space="preserve">Heating Plant = </t>
  </si>
  <si>
    <t>therm</t>
  </si>
  <si>
    <t>dthm</t>
  </si>
  <si>
    <t>Total Natural Gas (Dthm)</t>
  </si>
  <si>
    <t>Total Electricity  (kWh)</t>
  </si>
  <si>
    <t>Gas Breakdown:</t>
  </si>
  <si>
    <t>Mbtu</t>
  </si>
  <si>
    <t>Total Wood (Tons)</t>
  </si>
  <si>
    <t>TOTAL ENERGY CONSUMED</t>
  </si>
  <si>
    <t>Total Clean Renewable Energy Generated On-Site</t>
  </si>
  <si>
    <t>Non-Electric Renewable Source (Steam) Produced</t>
  </si>
  <si>
    <t>Factor</t>
  </si>
  <si>
    <t>X</t>
  </si>
  <si>
    <t>Energy Generated</t>
  </si>
  <si>
    <t>Option 2:  Non-Electric Renewable Source (Steam)</t>
  </si>
  <si>
    <t xml:space="preserve">Option 1:  Total Clean Renewable Energy Generated  </t>
  </si>
  <si>
    <t>÷</t>
  </si>
  <si>
    <t>Total Energy Consumption</t>
  </si>
  <si>
    <t>Points</t>
  </si>
  <si>
    <t>Earned</t>
  </si>
  <si>
    <t>TOTAL POINTS EARNED</t>
  </si>
  <si>
    <t>MBtu Wood Consumed</t>
  </si>
  <si>
    <t>Average Moisture Content (JCI #'s)</t>
  </si>
  <si>
    <t>Mbtu $/Wood (Net)</t>
  </si>
  <si>
    <t>Mbtu Gas Consumed (off bill)</t>
  </si>
  <si>
    <t>Mbtu $/Gas (Net)</t>
  </si>
  <si>
    <t xml:space="preserve">Mbtu/Oil </t>
  </si>
  <si>
    <t>Mbtu $/Oil (Net)</t>
  </si>
  <si>
    <t>Total Combined Mbtu Consumed</t>
  </si>
  <si>
    <t>Total Mbtu $/Cost</t>
  </si>
  <si>
    <t>Total Steam:  Gas Boilers</t>
  </si>
  <si>
    <t>Total Steam:  Wood Boiler</t>
  </si>
  <si>
    <t xml:space="preserve">Total Mbtu of Steam Produced </t>
  </si>
  <si>
    <t>Note:  Mbtu of wood calculated assuming 20% moisture content</t>
  </si>
  <si>
    <t>n/a</t>
  </si>
  <si>
    <t>Net Electricity Consumed/Produced</t>
  </si>
  <si>
    <t>Est. Cost at .085 per kWh</t>
  </si>
  <si>
    <t>Note:  Started reading plant meter correctly on 11/15; incomplete data for new plant through Dec….</t>
  </si>
  <si>
    <t>Past Steam Production (Mbtu)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</si>
</sst>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164" formatCode="0.00000000"/>
    <numFmt numFmtId="165" formatCode="[$-409]mmm\-yy;@"/>
    <numFmt numFmtId="166" formatCode="&quot;$&quot;#,##0.00"/>
    <numFmt numFmtId="167" formatCode="000000.0"/>
    <numFmt numFmtId="168" formatCode="&quot;$&quot;#,##0"/>
    <numFmt numFmtId="169" formatCode="&quot;$&quot;#,##0.000"/>
    <numFmt numFmtId="170" formatCode="&quot;$&quot;#,##0.0000000"/>
    <numFmt numFmtId="171" formatCode="&quot;$&quot;#,##0.0000"/>
    <numFmt numFmtId="172" formatCode="0.0%"/>
  </numFmts>
  <fonts count="61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rgb="FF008000"/>
      <name val="Arial Narrow"/>
      <family val="2"/>
    </font>
    <font>
      <i/>
      <sz val="12"/>
      <color rgb="FF800080"/>
      <name val="Arial Narrow"/>
      <family val="2"/>
    </font>
    <font>
      <u/>
      <sz val="12"/>
      <color theme="1"/>
      <name val="Arial Narrow"/>
      <family val="2"/>
    </font>
    <font>
      <u/>
      <sz val="12"/>
      <color rgb="FF008000"/>
      <name val="Arial Narrow"/>
      <family val="2"/>
    </font>
    <font>
      <i/>
      <u/>
      <sz val="12"/>
      <color theme="1"/>
      <name val="Arial Narrow"/>
      <family val="2"/>
    </font>
    <font>
      <i/>
      <u/>
      <sz val="12"/>
      <color rgb="FF008000"/>
      <name val="Arial Narrow"/>
      <family val="2"/>
    </font>
    <font>
      <b/>
      <sz val="12"/>
      <color theme="1"/>
      <name val="Arial Narrow"/>
      <family val="2"/>
    </font>
    <font>
      <b/>
      <sz val="12"/>
      <color rgb="FF008000"/>
      <name val="Arial Narrow"/>
      <family val="2"/>
    </font>
    <font>
      <i/>
      <sz val="12"/>
      <color rgb="FF008000"/>
      <name val="Arial Narrow"/>
      <family val="2"/>
    </font>
    <font>
      <i/>
      <sz val="12"/>
      <color theme="1"/>
      <name val="Arial Narrow"/>
      <family val="2"/>
    </font>
    <font>
      <strike/>
      <sz val="12"/>
      <color theme="1"/>
      <name val="Arial Narrow"/>
      <family val="2"/>
    </font>
    <font>
      <i/>
      <sz val="12"/>
      <color rgb="FF00B050"/>
      <name val="Arial Narrow"/>
      <family val="2"/>
    </font>
    <font>
      <sz val="12"/>
      <color rgb="FF00B050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8000"/>
      <name val="Arial"/>
      <family val="2"/>
    </font>
    <font>
      <strike/>
      <sz val="11"/>
      <color theme="1"/>
      <name val="Arial"/>
      <family val="2"/>
    </font>
    <font>
      <strike/>
      <sz val="11"/>
      <color rgb="FF008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i/>
      <sz val="10"/>
      <color rgb="FF008000"/>
      <name val="Arial"/>
      <family val="2"/>
    </font>
    <font>
      <u/>
      <sz val="10"/>
      <color theme="1"/>
      <name val="Arial"/>
      <family val="2"/>
    </font>
    <font>
      <sz val="12"/>
      <color theme="1"/>
      <name val="Gill Sans MT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rgb="FF008000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20"/>
      <name val="Arial"/>
      <family val="2"/>
    </font>
    <font>
      <b/>
      <u/>
      <sz val="12"/>
      <name val="Calibri"/>
      <family val="2"/>
      <scheme val="minor"/>
    </font>
    <font>
      <i/>
      <sz val="8"/>
      <name val="Arial"/>
      <family val="2"/>
    </font>
    <font>
      <i/>
      <sz val="12"/>
      <name val="Calibri"/>
      <family val="2"/>
      <scheme val="minor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name val="Arial"/>
    </font>
    <font>
      <strike/>
      <sz val="10"/>
      <color theme="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 style="thin">
        <color auto="1"/>
      </top>
      <bottom/>
      <diagonal/>
    </border>
    <border>
      <left style="dashDot">
        <color theme="0" tint="-0.34998626667073579"/>
      </left>
      <right/>
      <top/>
      <bottom/>
      <diagonal/>
    </border>
    <border>
      <left style="dashDot">
        <color auto="1"/>
      </left>
      <right/>
      <top/>
      <bottom style="thin">
        <color auto="1"/>
      </bottom>
      <diagonal/>
    </border>
    <border>
      <left/>
      <right style="dashDot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dashDot">
        <color auto="1"/>
      </bottom>
      <diagonal/>
    </border>
    <border>
      <left/>
      <right/>
      <top style="dashDot">
        <color auto="1"/>
      </top>
      <bottom style="thin">
        <color auto="1"/>
      </bottom>
      <diagonal/>
    </border>
    <border>
      <left style="dashDot">
        <color auto="1"/>
      </left>
      <right/>
      <top style="dashDot">
        <color auto="1"/>
      </top>
      <bottom style="thin">
        <color auto="1"/>
      </bottom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dashDot">
        <color auto="1"/>
      </left>
      <right/>
      <top style="thick">
        <color auto="1"/>
      </top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auto="1"/>
      </left>
      <right/>
      <top/>
      <bottom/>
      <diagonal/>
    </border>
    <border>
      <left style="dashDotDot">
        <color auto="1"/>
      </left>
      <right/>
      <top style="thin">
        <color auto="1"/>
      </top>
      <bottom style="thin">
        <color auto="1"/>
      </bottom>
      <diagonal/>
    </border>
    <border>
      <left style="dashDotDot">
        <color auto="1"/>
      </left>
      <right/>
      <top style="thin">
        <color auto="1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dashDotDot">
        <color auto="1"/>
      </left>
      <right/>
      <top style="thin">
        <color theme="1"/>
      </top>
      <bottom/>
      <diagonal/>
    </border>
    <border>
      <left/>
      <right style="dashDot">
        <color auto="1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8" fillId="0" borderId="0"/>
  </cellStyleXfs>
  <cellXfs count="55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/>
    <xf numFmtId="3" fontId="0" fillId="0" borderId="1" xfId="0" applyNumberFormat="1" applyBorder="1"/>
    <xf numFmtId="0" fontId="0" fillId="0" borderId="0" xfId="0" applyAlignment="1">
      <alignment horizontal="right"/>
    </xf>
    <xf numFmtId="3" fontId="0" fillId="0" borderId="0" xfId="0" quotePrefix="1" applyNumberFormat="1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quotePrefix="1" applyNumberFormat="1" applyFont="1" applyAlignment="1">
      <alignment horizontal="center"/>
    </xf>
    <xf numFmtId="3" fontId="4" fillId="0" borderId="0" xfId="0" applyNumberFormat="1" applyFont="1"/>
    <xf numFmtId="3" fontId="4" fillId="0" borderId="1" xfId="0" applyNumberFormat="1" applyFont="1" applyBorder="1"/>
    <xf numFmtId="164" fontId="0" fillId="0" borderId="0" xfId="0" applyNumberFormat="1"/>
    <xf numFmtId="0" fontId="4" fillId="0" borderId="0" xfId="0" applyFont="1"/>
    <xf numFmtId="0" fontId="0" fillId="0" borderId="0" xfId="0" applyFont="1" applyAlignment="1">
      <alignment horizontal="right"/>
    </xf>
    <xf numFmtId="0" fontId="0" fillId="0" borderId="0" xfId="0" applyBorder="1"/>
    <xf numFmtId="3" fontId="4" fillId="0" borderId="2" xfId="0" applyNumberFormat="1" applyFont="1" applyBorder="1"/>
    <xf numFmtId="0" fontId="6" fillId="0" borderId="0" xfId="1" applyFont="1" applyAlignment="1">
      <alignment horizontal="center"/>
    </xf>
    <xf numFmtId="0" fontId="6" fillId="0" borderId="0" xfId="1" quotePrefix="1" applyFont="1"/>
    <xf numFmtId="0" fontId="6" fillId="0" borderId="0" xfId="1" applyFont="1"/>
    <xf numFmtId="165" fontId="7" fillId="0" borderId="0" xfId="1" applyNumberFormat="1" applyFont="1"/>
    <xf numFmtId="165" fontId="6" fillId="0" borderId="0" xfId="1" applyNumberFormat="1" applyFont="1" applyAlignment="1">
      <alignment horizontal="right" wrapText="1"/>
    </xf>
    <xf numFmtId="0" fontId="7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3" fontId="8" fillId="0" borderId="0" xfId="1" applyNumberFormat="1" applyFont="1" applyAlignment="1">
      <alignment horizontal="center"/>
    </xf>
    <xf numFmtId="0" fontId="6" fillId="0" borderId="0" xfId="2" applyFont="1" applyAlignment="1">
      <alignment horizontal="left"/>
    </xf>
    <xf numFmtId="3" fontId="6" fillId="0" borderId="0" xfId="1" applyNumberFormat="1" applyFont="1"/>
    <xf numFmtId="0" fontId="6" fillId="0" borderId="0" xfId="2" applyFont="1" applyAlignment="1"/>
    <xf numFmtId="3" fontId="6" fillId="0" borderId="2" xfId="1" applyNumberFormat="1" applyFont="1" applyBorder="1"/>
    <xf numFmtId="3" fontId="6" fillId="0" borderId="0" xfId="1" applyNumberFormat="1" applyFont="1" applyBorder="1"/>
    <xf numFmtId="0" fontId="6" fillId="0" borderId="0" xfId="2" applyFont="1" applyBorder="1" applyAlignment="1"/>
    <xf numFmtId="3" fontId="6" fillId="0" borderId="1" xfId="1" applyNumberFormat="1" applyFont="1" applyBorder="1"/>
    <xf numFmtId="0" fontId="6" fillId="0" borderId="0" xfId="2" applyFont="1" applyAlignment="1">
      <alignment horizontal="right"/>
    </xf>
    <xf numFmtId="3" fontId="9" fillId="0" borderId="0" xfId="1" applyNumberFormat="1" applyFont="1"/>
    <xf numFmtId="0" fontId="6" fillId="0" borderId="2" xfId="2" applyFont="1" applyBorder="1" applyAlignment="1">
      <alignment horizontal="right"/>
    </xf>
    <xf numFmtId="38" fontId="6" fillId="0" borderId="2" xfId="1" applyNumberFormat="1" applyFont="1" applyBorder="1"/>
    <xf numFmtId="10" fontId="6" fillId="0" borderId="0" xfId="1" applyNumberFormat="1" applyFont="1"/>
    <xf numFmtId="0" fontId="8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3" fontId="6" fillId="0" borderId="0" xfId="1" applyNumberFormat="1" applyFont="1" applyAlignment="1">
      <alignment horizontal="right" vertical="center"/>
    </xf>
    <xf numFmtId="3" fontId="10" fillId="0" borderId="0" xfId="1" applyNumberFormat="1" applyFont="1"/>
    <xf numFmtId="3" fontId="6" fillId="0" borderId="0" xfId="1" quotePrefix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 applyBorder="1" applyAlignment="1">
      <alignment horizontal="right"/>
    </xf>
    <xf numFmtId="3" fontId="9" fillId="0" borderId="0" xfId="1" applyNumberFormat="1" applyFont="1" applyBorder="1"/>
    <xf numFmtId="3" fontId="6" fillId="0" borderId="0" xfId="1" applyNumberFormat="1" applyFont="1" applyBorder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1" xfId="1" applyFont="1" applyBorder="1"/>
    <xf numFmtId="0" fontId="9" fillId="0" borderId="1" xfId="1" applyFont="1" applyBorder="1"/>
    <xf numFmtId="10" fontId="10" fillId="0" borderId="0" xfId="1" applyNumberFormat="1" applyFont="1"/>
    <xf numFmtId="0" fontId="7" fillId="0" borderId="0" xfId="1" applyFont="1" applyAlignment="1">
      <alignment horizontal="right"/>
    </xf>
    <xf numFmtId="166" fontId="6" fillId="0" borderId="0" xfId="1" applyNumberFormat="1" applyFont="1"/>
    <xf numFmtId="0" fontId="11" fillId="0" borderId="0" xfId="1" applyFont="1" applyBorder="1"/>
    <xf numFmtId="166" fontId="12" fillId="0" borderId="0" xfId="3" applyNumberFormat="1" applyFont="1" applyAlignment="1">
      <alignment horizontal="center"/>
    </xf>
    <xf numFmtId="166" fontId="13" fillId="0" borderId="0" xfId="3" applyNumberFormat="1" applyFont="1" applyAlignment="1">
      <alignment horizontal="center"/>
    </xf>
    <xf numFmtId="166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center"/>
    </xf>
    <xf numFmtId="3" fontId="12" fillId="0" borderId="0" xfId="1" applyNumberFormat="1" applyFont="1" applyBorder="1" applyAlignment="1">
      <alignment horizontal="center"/>
    </xf>
    <xf numFmtId="3" fontId="12" fillId="0" borderId="0" xfId="1" applyNumberFormat="1" applyFont="1" applyAlignment="1">
      <alignment horizontal="center"/>
    </xf>
    <xf numFmtId="0" fontId="12" fillId="0" borderId="0" xfId="1" applyFont="1"/>
    <xf numFmtId="0" fontId="11" fillId="0" borderId="0" xfId="1" applyFont="1"/>
    <xf numFmtId="0" fontId="12" fillId="0" borderId="0" xfId="3" applyFont="1" applyAlignment="1">
      <alignment horizontal="center"/>
    </xf>
    <xf numFmtId="0" fontId="12" fillId="0" borderId="0" xfId="1" applyFont="1" applyBorder="1"/>
    <xf numFmtId="0" fontId="12" fillId="0" borderId="0" xfId="1" applyFont="1" applyFill="1" applyBorder="1"/>
    <xf numFmtId="166" fontId="12" fillId="0" borderId="0" xfId="1" applyNumberFormat="1" applyFont="1" applyBorder="1" applyAlignment="1">
      <alignment horizontal="center"/>
    </xf>
    <xf numFmtId="166" fontId="13" fillId="0" borderId="0" xfId="1" applyNumberFormat="1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166" fontId="14" fillId="0" borderId="0" xfId="3" applyNumberFormat="1" applyFont="1" applyBorder="1" applyAlignment="1">
      <alignment horizontal="right"/>
    </xf>
    <xf numFmtId="166" fontId="15" fillId="0" borderId="0" xfId="3" quotePrefix="1" applyNumberFormat="1" applyFont="1" applyAlignment="1">
      <alignment horizontal="center"/>
    </xf>
    <xf numFmtId="166" fontId="16" fillId="0" borderId="0" xfId="3" quotePrefix="1" applyNumberFormat="1" applyFont="1" applyAlignment="1">
      <alignment horizontal="center"/>
    </xf>
    <xf numFmtId="166" fontId="16" fillId="0" borderId="0" xfId="1" quotePrefix="1" applyNumberFormat="1" applyFont="1" applyAlignment="1">
      <alignment horizontal="center"/>
    </xf>
    <xf numFmtId="3" fontId="16" fillId="0" borderId="0" xfId="1" quotePrefix="1" applyNumberFormat="1" applyFont="1" applyAlignment="1">
      <alignment horizontal="center"/>
    </xf>
    <xf numFmtId="3" fontId="15" fillId="0" borderId="0" xfId="1" quotePrefix="1" applyNumberFormat="1" applyFont="1" applyAlignment="1">
      <alignment horizontal="center"/>
    </xf>
    <xf numFmtId="3" fontId="15" fillId="0" borderId="3" xfId="1" applyNumberFormat="1" applyFont="1" applyBorder="1" applyAlignment="1">
      <alignment horizontal="center"/>
    </xf>
    <xf numFmtId="0" fontId="15" fillId="0" borderId="0" xfId="3" quotePrefix="1" applyFont="1" applyAlignment="1">
      <alignment horizontal="center"/>
    </xf>
    <xf numFmtId="0" fontId="15" fillId="0" borderId="3" xfId="1" applyFont="1" applyBorder="1" applyAlignment="1">
      <alignment horizontal="center"/>
    </xf>
    <xf numFmtId="0" fontId="17" fillId="0" borderId="0" xfId="4" applyFont="1" applyFill="1" applyBorder="1" applyAlignment="1"/>
    <xf numFmtId="0" fontId="18" fillId="0" borderId="0" xfId="4" applyFont="1" applyFill="1" applyBorder="1" applyAlignment="1"/>
    <xf numFmtId="3" fontId="18" fillId="0" borderId="0" xfId="4" applyNumberFormat="1" applyFont="1" applyFill="1" applyBorder="1" applyAlignment="1"/>
    <xf numFmtId="3" fontId="17" fillId="0" borderId="0" xfId="4" applyNumberFormat="1" applyFont="1" applyFill="1" applyBorder="1" applyAlignment="1"/>
    <xf numFmtId="3" fontId="12" fillId="0" borderId="0" xfId="1" applyNumberFormat="1" applyFont="1"/>
    <xf numFmtId="0" fontId="12" fillId="0" borderId="3" xfId="1" applyFont="1" applyBorder="1"/>
    <xf numFmtId="166" fontId="17" fillId="0" borderId="0" xfId="4" applyNumberFormat="1" applyFont="1" applyFill="1" applyBorder="1" applyAlignment="1"/>
    <xf numFmtId="166" fontId="18" fillId="0" borderId="0" xfId="4" applyNumberFormat="1" applyFont="1" applyFill="1" applyBorder="1" applyAlignment="1"/>
    <xf numFmtId="0" fontId="17" fillId="0" borderId="0" xfId="4" quotePrefix="1" applyFont="1" applyFill="1" applyBorder="1" applyAlignment="1">
      <alignment horizontal="center"/>
    </xf>
    <xf numFmtId="166" fontId="12" fillId="0" borderId="0" xfId="1" applyNumberFormat="1" applyFont="1"/>
    <xf numFmtId="0" fontId="15" fillId="0" borderId="0" xfId="3" quotePrefix="1" applyFont="1" applyBorder="1" applyAlignment="1">
      <alignment horizontal="center"/>
    </xf>
    <xf numFmtId="0" fontId="12" fillId="0" borderId="0" xfId="5" applyFont="1" applyFill="1" applyBorder="1" applyAlignment="1"/>
    <xf numFmtId="3" fontId="12" fillId="0" borderId="0" xfId="6" applyNumberFormat="1" applyFont="1" applyFill="1" applyBorder="1" applyAlignment="1"/>
    <xf numFmtId="0" fontId="13" fillId="0" borderId="0" xfId="5" applyFont="1" applyFill="1" applyBorder="1" applyAlignment="1"/>
    <xf numFmtId="3" fontId="13" fillId="0" borderId="0" xfId="5" applyNumberFormat="1" applyFont="1" applyFill="1" applyBorder="1" applyAlignment="1"/>
    <xf numFmtId="3" fontId="12" fillId="0" borderId="0" xfId="5" applyNumberFormat="1" applyFont="1" applyFill="1" applyBorder="1" applyAlignment="1"/>
    <xf numFmtId="3" fontId="12" fillId="0" borderId="3" xfId="1" applyNumberFormat="1" applyFont="1" applyBorder="1"/>
    <xf numFmtId="166" fontId="19" fillId="0" borderId="0" xfId="1" applyNumberFormat="1" applyFont="1"/>
    <xf numFmtId="166" fontId="20" fillId="0" borderId="0" xfId="1" applyNumberFormat="1" applyFont="1"/>
    <xf numFmtId="166" fontId="12" fillId="0" borderId="3" xfId="1" applyNumberFormat="1" applyFont="1" applyBorder="1"/>
    <xf numFmtId="166" fontId="12" fillId="0" borderId="0" xfId="1" applyNumberFormat="1" applyFont="1" applyBorder="1"/>
    <xf numFmtId="3" fontId="12" fillId="0" borderId="0" xfId="1" applyNumberFormat="1" applyFont="1" applyBorder="1"/>
    <xf numFmtId="0" fontId="21" fillId="0" borderId="0" xfId="5" applyFont="1" applyFill="1" applyBorder="1" applyAlignment="1"/>
    <xf numFmtId="3" fontId="22" fillId="0" borderId="0" xfId="6" applyNumberFormat="1" applyFont="1" applyFill="1" applyBorder="1" applyAlignment="1"/>
    <xf numFmtId="3" fontId="21" fillId="0" borderId="0" xfId="5" applyNumberFormat="1" applyFont="1" applyFill="1" applyBorder="1" applyAlignment="1"/>
    <xf numFmtId="3" fontId="22" fillId="0" borderId="0" xfId="5" applyNumberFormat="1" applyFont="1" applyFill="1" applyBorder="1" applyAlignment="1"/>
    <xf numFmtId="3" fontId="22" fillId="0" borderId="0" xfId="1" applyNumberFormat="1" applyFont="1"/>
    <xf numFmtId="0" fontId="12" fillId="2" borderId="0" xfId="5" applyFont="1" applyFill="1" applyBorder="1" applyAlignment="1"/>
    <xf numFmtId="3" fontId="12" fillId="2" borderId="0" xfId="6" applyNumberFormat="1" applyFont="1" applyFill="1" applyBorder="1" applyAlignment="1"/>
    <xf numFmtId="0" fontId="13" fillId="2" borderId="0" xfId="5" applyFont="1" applyFill="1" applyBorder="1" applyAlignment="1"/>
    <xf numFmtId="3" fontId="13" fillId="2" borderId="0" xfId="5" applyNumberFormat="1" applyFont="1" applyFill="1" applyBorder="1" applyAlignment="1"/>
    <xf numFmtId="3" fontId="12" fillId="2" borderId="0" xfId="5" applyNumberFormat="1" applyFont="1" applyFill="1" applyBorder="1" applyAlignment="1"/>
    <xf numFmtId="3" fontId="12" fillId="2" borderId="0" xfId="1" applyNumberFormat="1" applyFont="1" applyFill="1"/>
    <xf numFmtId="3" fontId="12" fillId="2" borderId="3" xfId="1" applyNumberFormat="1" applyFont="1" applyFill="1" applyBorder="1"/>
    <xf numFmtId="0" fontId="12" fillId="2" borderId="0" xfId="1" applyFont="1" applyFill="1"/>
    <xf numFmtId="166" fontId="12" fillId="2" borderId="0" xfId="5" applyNumberFormat="1" applyFont="1" applyFill="1" applyBorder="1" applyAlignment="1"/>
    <xf numFmtId="166" fontId="13" fillId="2" borderId="0" xfId="5" applyNumberFormat="1" applyFont="1" applyFill="1" applyBorder="1" applyAlignment="1"/>
    <xf numFmtId="166" fontId="12" fillId="2" borderId="0" xfId="1" applyNumberFormat="1" applyFont="1" applyFill="1"/>
    <xf numFmtId="166" fontId="12" fillId="2" borderId="3" xfId="1" applyNumberFormat="1" applyFont="1" applyFill="1" applyBorder="1"/>
    <xf numFmtId="166" fontId="12" fillId="2" borderId="0" xfId="1" applyNumberFormat="1" applyFont="1" applyFill="1" applyBorder="1"/>
    <xf numFmtId="0" fontId="12" fillId="2" borderId="0" xfId="1" applyFont="1" applyFill="1" applyBorder="1"/>
    <xf numFmtId="3" fontId="12" fillId="2" borderId="0" xfId="1" applyNumberFormat="1" applyFont="1" applyFill="1" applyBorder="1"/>
    <xf numFmtId="0" fontId="23" fillId="2" borderId="0" xfId="5" applyFont="1" applyFill="1" applyBorder="1" applyAlignment="1"/>
    <xf numFmtId="3" fontId="23" fillId="2" borderId="0" xfId="1" applyNumberFormat="1" applyFont="1" applyFill="1"/>
    <xf numFmtId="0" fontId="23" fillId="0" borderId="0" xfId="5" applyFont="1" applyFill="1" applyBorder="1" applyAlignment="1"/>
    <xf numFmtId="3" fontId="12" fillId="0" borderId="0" xfId="6" applyNumberFormat="1" applyFont="1" applyFill="1" applyBorder="1" applyAlignment="1">
      <alignment horizontal="center"/>
    </xf>
    <xf numFmtId="3" fontId="12" fillId="0" borderId="0" xfId="5" applyNumberFormat="1" applyFont="1" applyFill="1" applyBorder="1" applyAlignment="1">
      <alignment horizontal="center"/>
    </xf>
    <xf numFmtId="3" fontId="13" fillId="0" borderId="0" xfId="5" applyNumberFormat="1" applyFont="1" applyFill="1" applyBorder="1" applyAlignment="1">
      <alignment horizontal="center"/>
    </xf>
    <xf numFmtId="166" fontId="19" fillId="0" borderId="0" xfId="1" applyNumberFormat="1" applyFont="1" applyAlignment="1">
      <alignment horizontal="center"/>
    </xf>
    <xf numFmtId="166" fontId="20" fillId="0" borderId="0" xfId="1" applyNumberFormat="1" applyFont="1" applyAlignment="1">
      <alignment horizontal="center"/>
    </xf>
    <xf numFmtId="166" fontId="19" fillId="0" borderId="3" xfId="1" applyNumberFormat="1" applyFont="1" applyBorder="1"/>
    <xf numFmtId="3" fontId="23" fillId="0" borderId="0" xfId="1" applyNumberFormat="1" applyFont="1"/>
    <xf numFmtId="0" fontId="12" fillId="0" borderId="0" xfId="6" applyFont="1" applyFill="1" applyBorder="1" applyAlignme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0" fontId="23" fillId="0" borderId="0" xfId="6" applyFont="1" applyFill="1" applyBorder="1" applyAlignment="1"/>
    <xf numFmtId="3" fontId="23" fillId="0" borderId="0" xfId="1" applyNumberFormat="1" applyFont="1" applyAlignment="1">
      <alignment horizontal="right"/>
    </xf>
    <xf numFmtId="166" fontId="13" fillId="2" borderId="0" xfId="1" applyNumberFormat="1" applyFont="1" applyFill="1"/>
    <xf numFmtId="0" fontId="19" fillId="0" borderId="0" xfId="5" applyFont="1" applyFill="1" applyBorder="1" applyAlignment="1"/>
    <xf numFmtId="166" fontId="19" fillId="0" borderId="0" xfId="1" applyNumberFormat="1" applyFont="1" applyBorder="1"/>
    <xf numFmtId="3" fontId="12" fillId="0" borderId="1" xfId="6" applyNumberFormat="1" applyFont="1" applyFill="1" applyBorder="1" applyAlignment="1"/>
    <xf numFmtId="0" fontId="13" fillId="0" borderId="1" xfId="5" applyFont="1" applyFill="1" applyBorder="1" applyAlignment="1"/>
    <xf numFmtId="3" fontId="13" fillId="0" borderId="1" xfId="5" applyNumberFormat="1" applyFont="1" applyFill="1" applyBorder="1" applyAlignment="1"/>
    <xf numFmtId="3" fontId="12" fillId="0" borderId="1" xfId="1" applyNumberFormat="1" applyFont="1" applyBorder="1"/>
    <xf numFmtId="166" fontId="20" fillId="0" borderId="1" xfId="1" applyNumberFormat="1" applyFont="1" applyBorder="1"/>
    <xf numFmtId="0" fontId="22" fillId="0" borderId="0" xfId="5" applyFont="1" applyFill="1" applyBorder="1" applyAlignment="1">
      <alignment horizontal="right"/>
    </xf>
    <xf numFmtId="3" fontId="12" fillId="0" borderId="0" xfId="6" applyNumberFormat="1" applyFont="1" applyFill="1" applyBorder="1" applyAlignment="1">
      <alignment horizontal="right"/>
    </xf>
    <xf numFmtId="3" fontId="12" fillId="0" borderId="0" xfId="4" applyNumberFormat="1" applyFont="1" applyFill="1" applyBorder="1" applyAlignment="1"/>
    <xf numFmtId="3" fontId="13" fillId="0" borderId="0" xfId="5" applyNumberFormat="1" applyFont="1" applyFill="1" applyBorder="1" applyAlignment="1">
      <alignment horizontal="right"/>
    </xf>
    <xf numFmtId="3" fontId="12" fillId="0" borderId="2" xfId="5" applyNumberFormat="1" applyFont="1" applyFill="1" applyBorder="1" applyAlignment="1">
      <alignment horizontal="right"/>
    </xf>
    <xf numFmtId="3" fontId="12" fillId="0" borderId="4" xfId="1" applyNumberFormat="1" applyFont="1" applyBorder="1"/>
    <xf numFmtId="166" fontId="12" fillId="0" borderId="2" xfId="5" applyNumberFormat="1" applyFont="1" applyFill="1" applyBorder="1" applyAlignment="1">
      <alignment horizontal="right"/>
    </xf>
    <xf numFmtId="166" fontId="13" fillId="0" borderId="2" xfId="5" applyNumberFormat="1" applyFont="1" applyFill="1" applyBorder="1" applyAlignment="1">
      <alignment horizontal="right"/>
    </xf>
    <xf numFmtId="166" fontId="13" fillId="0" borderId="0" xfId="5" applyNumberFormat="1" applyFont="1" applyFill="1" applyBorder="1" applyAlignment="1">
      <alignment horizontal="right"/>
    </xf>
    <xf numFmtId="166" fontId="12" fillId="0" borderId="2" xfId="1" applyNumberFormat="1" applyFont="1" applyBorder="1"/>
    <xf numFmtId="166" fontId="12" fillId="0" borderId="4" xfId="1" applyNumberFormat="1" applyFont="1" applyBorder="1"/>
    <xf numFmtId="3" fontId="15" fillId="0" borderId="0" xfId="4" applyNumberFormat="1" applyFont="1" applyFill="1" applyBorder="1" applyAlignment="1"/>
    <xf numFmtId="0" fontId="16" fillId="0" borderId="0" xfId="4" applyFont="1" applyFill="1" applyBorder="1" applyAlignment="1"/>
    <xf numFmtId="0" fontId="12" fillId="2" borderId="0" xfId="4" applyFont="1" applyFill="1" applyBorder="1" applyAlignment="1"/>
    <xf numFmtId="0" fontId="22" fillId="2" borderId="0" xfId="5" applyFont="1" applyFill="1" applyBorder="1" applyAlignment="1">
      <alignment horizontal="right"/>
    </xf>
    <xf numFmtId="0" fontId="17" fillId="2" borderId="0" xfId="4" applyFont="1" applyFill="1" applyBorder="1" applyAlignment="1"/>
    <xf numFmtId="0" fontId="23" fillId="2" borderId="0" xfId="4" applyFont="1" applyFill="1" applyBorder="1" applyAlignment="1"/>
    <xf numFmtId="0" fontId="12" fillId="0" borderId="0" xfId="4" applyFont="1" applyFill="1" applyBorder="1" applyAlignment="1"/>
    <xf numFmtId="0" fontId="13" fillId="0" borderId="0" xfId="4" applyFont="1" applyFill="1" applyBorder="1" applyAlignment="1"/>
    <xf numFmtId="0" fontId="21" fillId="0" borderId="0" xfId="4" applyFont="1" applyFill="1" applyBorder="1" applyAlignment="1"/>
    <xf numFmtId="3" fontId="13" fillId="0" borderId="0" xfId="4" applyNumberFormat="1" applyFont="1" applyFill="1" applyBorder="1" applyAlignment="1"/>
    <xf numFmtId="0" fontId="19" fillId="0" borderId="0" xfId="4" applyFont="1" applyFill="1" applyBorder="1" applyAlignment="1"/>
    <xf numFmtId="0" fontId="23" fillId="0" borderId="0" xfId="4" applyFont="1" applyFill="1" applyBorder="1" applyAlignment="1"/>
    <xf numFmtId="3" fontId="19" fillId="0" borderId="0" xfId="1" applyNumberFormat="1" applyFont="1" applyBorder="1"/>
    <xf numFmtId="3" fontId="22" fillId="0" borderId="0" xfId="4" applyNumberFormat="1" applyFont="1" applyFill="1" applyBorder="1" applyAlignment="1"/>
    <xf numFmtId="3" fontId="21" fillId="0" borderId="0" xfId="4" applyNumberFormat="1" applyFont="1" applyFill="1" applyBorder="1" applyAlignment="1"/>
    <xf numFmtId="3" fontId="13" fillId="0" borderId="0" xfId="1" applyNumberFormat="1" applyFont="1" applyAlignment="1">
      <alignment horizontal="center"/>
    </xf>
    <xf numFmtId="3" fontId="12" fillId="0" borderId="3" xfId="1" applyNumberFormat="1" applyFont="1" applyBorder="1" applyAlignment="1">
      <alignment horizontal="center"/>
    </xf>
    <xf numFmtId="3" fontId="19" fillId="0" borderId="0" xfId="1" applyNumberFormat="1" applyFont="1" applyAlignment="1">
      <alignment horizontal="center"/>
    </xf>
    <xf numFmtId="3" fontId="20" fillId="0" borderId="0" xfId="1" applyNumberFormat="1" applyFont="1" applyAlignment="1">
      <alignment horizontal="center"/>
    </xf>
    <xf numFmtId="3" fontId="12" fillId="0" borderId="5" xfId="1" applyNumberFormat="1" applyFont="1" applyBorder="1" applyAlignment="1">
      <alignment horizontal="center"/>
    </xf>
    <xf numFmtId="166" fontId="19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3" fontId="13" fillId="0" borderId="0" xfId="1" applyNumberFormat="1" applyFont="1"/>
    <xf numFmtId="3" fontId="24" fillId="0" borderId="0" xfId="4" applyNumberFormat="1" applyFont="1" applyFill="1" applyBorder="1" applyAlignment="1"/>
    <xf numFmtId="0" fontId="24" fillId="0" borderId="0" xfId="4" applyFont="1" applyFill="1" applyBorder="1" applyAlignment="1"/>
    <xf numFmtId="3" fontId="24" fillId="0" borderId="0" xfId="1" applyNumberFormat="1" applyFont="1"/>
    <xf numFmtId="3" fontId="22" fillId="0" borderId="1" xfId="4" applyNumberFormat="1" applyFont="1" applyFill="1" applyBorder="1" applyAlignment="1"/>
    <xf numFmtId="0" fontId="21" fillId="0" borderId="1" xfId="4" applyFont="1" applyFill="1" applyBorder="1" applyAlignment="1"/>
    <xf numFmtId="3" fontId="21" fillId="0" borderId="1" xfId="4" applyNumberFormat="1" applyFont="1" applyFill="1" applyBorder="1" applyAlignment="1"/>
    <xf numFmtId="3" fontId="22" fillId="0" borderId="1" xfId="1" applyNumberFormat="1" applyFont="1" applyBorder="1"/>
    <xf numFmtId="3" fontId="12" fillId="0" borderId="6" xfId="1" applyNumberFormat="1" applyFont="1" applyBorder="1"/>
    <xf numFmtId="166" fontId="19" fillId="0" borderId="6" xfId="1" applyNumberFormat="1" applyFont="1" applyBorder="1"/>
    <xf numFmtId="0" fontId="22" fillId="0" borderId="0" xfId="4" applyFont="1" applyFill="1" applyBorder="1" applyAlignment="1">
      <alignment horizontal="right"/>
    </xf>
    <xf numFmtId="166" fontId="12" fillId="0" borderId="2" xfId="4" applyNumberFormat="1" applyFont="1" applyFill="1" applyBorder="1" applyAlignment="1">
      <alignment horizontal="right"/>
    </xf>
    <xf numFmtId="166" fontId="13" fillId="0" borderId="2" xfId="4" applyNumberFormat="1" applyFont="1" applyFill="1" applyBorder="1" applyAlignment="1">
      <alignment horizontal="right"/>
    </xf>
    <xf numFmtId="166" fontId="13" fillId="0" borderId="0" xfId="4" applyNumberFormat="1" applyFont="1" applyFill="1" applyBorder="1" applyAlignment="1">
      <alignment horizontal="right"/>
    </xf>
    <xf numFmtId="166" fontId="12" fillId="0" borderId="7" xfId="1" applyNumberFormat="1" applyFont="1" applyBorder="1"/>
    <xf numFmtId="0" fontId="12" fillId="2" borderId="0" xfId="6" applyFont="1" applyFill="1" applyBorder="1" applyAlignment="1"/>
    <xf numFmtId="3" fontId="13" fillId="2" borderId="0" xfId="1" applyNumberFormat="1" applyFont="1" applyFill="1"/>
    <xf numFmtId="166" fontId="12" fillId="2" borderId="0" xfId="4" applyNumberFormat="1" applyFont="1" applyFill="1" applyBorder="1" applyAlignment="1"/>
    <xf numFmtId="166" fontId="13" fillId="2" borderId="0" xfId="4" applyNumberFormat="1" applyFont="1" applyFill="1" applyBorder="1" applyAlignment="1"/>
    <xf numFmtId="3" fontId="12" fillId="2" borderId="2" xfId="1" applyNumberFormat="1" applyFont="1" applyFill="1" applyBorder="1"/>
    <xf numFmtId="166" fontId="16" fillId="0" borderId="0" xfId="4" applyNumberFormat="1" applyFont="1" applyFill="1" applyBorder="1" applyAlignment="1"/>
    <xf numFmtId="3" fontId="12" fillId="2" borderId="0" xfId="1" applyNumberFormat="1" applyFont="1" applyFill="1" applyAlignment="1">
      <alignment horizontal="center"/>
    </xf>
    <xf numFmtId="3" fontId="13" fillId="2" borderId="0" xfId="1" applyNumberFormat="1" applyFont="1" applyFill="1" applyAlignment="1">
      <alignment horizontal="center"/>
    </xf>
    <xf numFmtId="3" fontId="12" fillId="2" borderId="3" xfId="1" applyNumberFormat="1" applyFont="1" applyFill="1" applyBorder="1" applyAlignment="1">
      <alignment horizontal="center"/>
    </xf>
    <xf numFmtId="166" fontId="12" fillId="2" borderId="0" xfId="1" applyNumberFormat="1" applyFont="1" applyFill="1" applyBorder="1" applyAlignment="1">
      <alignment horizontal="center"/>
    </xf>
    <xf numFmtId="166" fontId="13" fillId="2" borderId="0" xfId="1" applyNumberFormat="1" applyFont="1" applyFill="1" applyBorder="1" applyAlignment="1">
      <alignment horizontal="center"/>
    </xf>
    <xf numFmtId="166" fontId="13" fillId="2" borderId="0" xfId="1" applyNumberFormat="1" applyFont="1" applyFill="1" applyAlignment="1">
      <alignment horizontal="center"/>
    </xf>
    <xf numFmtId="166" fontId="12" fillId="2" borderId="0" xfId="1" applyNumberFormat="1" applyFont="1" applyFill="1" applyAlignment="1">
      <alignment horizontal="center"/>
    </xf>
    <xf numFmtId="166" fontId="12" fillId="2" borderId="3" xfId="1" applyNumberFormat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3" fontId="12" fillId="2" borderId="0" xfId="1" applyNumberFormat="1" applyFont="1" applyFill="1" applyBorder="1" applyAlignment="1">
      <alignment horizontal="center"/>
    </xf>
    <xf numFmtId="3" fontId="12" fillId="2" borderId="0" xfId="1" applyNumberFormat="1" applyFont="1" applyFill="1" applyAlignment="1">
      <alignment horizontal="right"/>
    </xf>
    <xf numFmtId="3" fontId="13" fillId="2" borderId="0" xfId="1" applyNumberFormat="1" applyFont="1" applyFill="1" applyAlignment="1">
      <alignment horizontal="right"/>
    </xf>
    <xf numFmtId="3" fontId="12" fillId="2" borderId="3" xfId="1" applyNumberFormat="1" applyFont="1" applyFill="1" applyBorder="1" applyAlignment="1">
      <alignment horizontal="right"/>
    </xf>
    <xf numFmtId="166" fontId="12" fillId="2" borderId="0" xfId="1" applyNumberFormat="1" applyFont="1" applyFill="1" applyBorder="1" applyAlignment="1">
      <alignment horizontal="right"/>
    </xf>
    <xf numFmtId="166" fontId="13" fillId="2" borderId="0" xfId="1" applyNumberFormat="1" applyFont="1" applyFill="1" applyBorder="1" applyAlignment="1">
      <alignment horizontal="right"/>
    </xf>
    <xf numFmtId="166" fontId="13" fillId="2" borderId="0" xfId="1" applyNumberFormat="1" applyFont="1" applyFill="1" applyAlignment="1">
      <alignment horizontal="right"/>
    </xf>
    <xf numFmtId="166" fontId="12" fillId="2" borderId="0" xfId="1" applyNumberFormat="1" applyFont="1" applyFill="1" applyAlignment="1">
      <alignment horizontal="right"/>
    </xf>
    <xf numFmtId="166" fontId="12" fillId="2" borderId="3" xfId="1" applyNumberFormat="1" applyFont="1" applyFill="1" applyBorder="1" applyAlignment="1">
      <alignment horizontal="right"/>
    </xf>
    <xf numFmtId="3" fontId="12" fillId="2" borderId="0" xfId="4" applyNumberFormat="1" applyFont="1" applyFill="1" applyBorder="1" applyAlignment="1"/>
    <xf numFmtId="0" fontId="13" fillId="2" borderId="0" xfId="1" applyFont="1" applyFill="1" applyBorder="1"/>
    <xf numFmtId="3" fontId="13" fillId="2" borderId="0" xfId="1" applyNumberFormat="1" applyFont="1" applyFill="1" applyBorder="1"/>
    <xf numFmtId="3" fontId="12" fillId="2" borderId="6" xfId="1" applyNumberFormat="1" applyFont="1" applyFill="1" applyBorder="1"/>
    <xf numFmtId="166" fontId="12" fillId="2" borderId="1" xfId="4" applyNumberFormat="1" applyFont="1" applyFill="1" applyBorder="1" applyAlignment="1"/>
    <xf numFmtId="166" fontId="13" fillId="2" borderId="1" xfId="4" applyNumberFormat="1" applyFont="1" applyFill="1" applyBorder="1" applyAlignment="1"/>
    <xf numFmtId="166" fontId="12" fillId="2" borderId="1" xfId="1" applyNumberFormat="1" applyFont="1" applyFill="1" applyBorder="1"/>
    <xf numFmtId="3" fontId="12" fillId="0" borderId="8" xfId="4" applyNumberFormat="1" applyFont="1" applyFill="1" applyBorder="1" applyAlignment="1"/>
    <xf numFmtId="3" fontId="13" fillId="0" borderId="8" xfId="4" applyNumberFormat="1" applyFont="1" applyFill="1" applyBorder="1" applyAlignment="1"/>
    <xf numFmtId="3" fontId="12" fillId="0" borderId="8" xfId="1" applyNumberFormat="1" applyFont="1" applyBorder="1"/>
    <xf numFmtId="3" fontId="12" fillId="0" borderId="9" xfId="1" applyNumberFormat="1" applyFont="1" applyBorder="1"/>
    <xf numFmtId="3" fontId="12" fillId="0" borderId="10" xfId="1" applyNumberFormat="1" applyFont="1" applyBorder="1"/>
    <xf numFmtId="0" fontId="12" fillId="0" borderId="0" xfId="1" applyFont="1" applyAlignment="1">
      <alignment horizontal="right"/>
    </xf>
    <xf numFmtId="0" fontId="22" fillId="0" borderId="0" xfId="1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13" fillId="0" borderId="0" xfId="1" applyNumberFormat="1" applyFont="1" applyAlignment="1">
      <alignment horizontal="right"/>
    </xf>
    <xf numFmtId="166" fontId="13" fillId="0" borderId="0" xfId="1" applyNumberFormat="1" applyFont="1" applyBorder="1"/>
    <xf numFmtId="0" fontId="12" fillId="0" borderId="0" xfId="1" applyFont="1" applyBorder="1" applyAlignment="1">
      <alignment horizontal="right"/>
    </xf>
    <xf numFmtId="0" fontId="22" fillId="0" borderId="0" xfId="1" applyFont="1" applyBorder="1" applyAlignment="1">
      <alignment horizontal="right"/>
    </xf>
    <xf numFmtId="0" fontId="12" fillId="0" borderId="0" xfId="4" applyFont="1" applyFill="1" applyBorder="1" applyAlignment="1">
      <alignment horizontal="right"/>
    </xf>
    <xf numFmtId="3" fontId="25" fillId="0" borderId="0" xfId="4" applyNumberFormat="1" applyFont="1" applyFill="1" applyBorder="1" applyAlignment="1"/>
    <xf numFmtId="166" fontId="13" fillId="0" borderId="2" xfId="1" applyNumberFormat="1" applyFont="1" applyBorder="1"/>
    <xf numFmtId="3" fontId="25" fillId="0" borderId="8" xfId="1" applyNumberFormat="1" applyFont="1" applyBorder="1"/>
    <xf numFmtId="166" fontId="13" fillId="0" borderId="0" xfId="1" applyNumberFormat="1" applyFont="1"/>
    <xf numFmtId="166" fontId="21" fillId="0" borderId="0" xfId="1" applyNumberFormat="1" applyFont="1"/>
    <xf numFmtId="3" fontId="12" fillId="0" borderId="11" xfId="1" applyNumberFormat="1" applyFont="1" applyBorder="1"/>
    <xf numFmtId="0" fontId="15" fillId="0" borderId="0" xfId="1" applyFont="1"/>
    <xf numFmtId="0" fontId="13" fillId="0" borderId="0" xfId="1" applyFont="1"/>
    <xf numFmtId="0" fontId="15" fillId="0" borderId="0" xfId="1" applyFont="1" applyBorder="1"/>
    <xf numFmtId="0" fontId="12" fillId="3" borderId="0" xfId="1" applyFont="1" applyFill="1" applyBorder="1" applyAlignment="1">
      <alignment horizontal="right"/>
    </xf>
    <xf numFmtId="0" fontId="12" fillId="3" borderId="0" xfId="1" applyFont="1" applyFill="1" applyBorder="1"/>
    <xf numFmtId="3" fontId="12" fillId="3" borderId="12" xfId="1" applyNumberFormat="1" applyFont="1" applyFill="1" applyBorder="1"/>
    <xf numFmtId="3" fontId="25" fillId="3" borderId="12" xfId="1" applyNumberFormat="1" applyFont="1" applyFill="1" applyBorder="1"/>
    <xf numFmtId="3" fontId="12" fillId="3" borderId="13" xfId="1" applyNumberFormat="1" applyFont="1" applyFill="1" applyBorder="1"/>
    <xf numFmtId="0" fontId="12" fillId="3" borderId="0" xfId="4" applyFont="1" applyFill="1" applyBorder="1" applyAlignment="1">
      <alignment horizontal="right"/>
    </xf>
    <xf numFmtId="0" fontId="12" fillId="3" borderId="0" xfId="4" applyFont="1" applyFill="1" applyBorder="1" applyAlignment="1"/>
    <xf numFmtId="3" fontId="12" fillId="3" borderId="0" xfId="4" applyNumberFormat="1" applyFont="1" applyFill="1" applyBorder="1" applyAlignment="1"/>
    <xf numFmtId="3" fontId="25" fillId="3" borderId="0" xfId="4" applyNumberFormat="1" applyFont="1" applyFill="1" applyBorder="1" applyAlignment="1"/>
    <xf numFmtId="3" fontId="25" fillId="3" borderId="0" xfId="1" applyNumberFormat="1" applyFont="1" applyFill="1"/>
    <xf numFmtId="3" fontId="12" fillId="3" borderId="3" xfId="1" applyNumberFormat="1" applyFont="1" applyFill="1" applyBorder="1"/>
    <xf numFmtId="3" fontId="12" fillId="0" borderId="1" xfId="4" applyNumberFormat="1" applyFont="1" applyFill="1" applyBorder="1" applyAlignment="1"/>
    <xf numFmtId="3" fontId="25" fillId="0" borderId="1" xfId="1" applyNumberFormat="1" applyFont="1" applyBorder="1"/>
    <xf numFmtId="3" fontId="25" fillId="0" borderId="0" xfId="1" applyNumberFormat="1" applyFont="1"/>
    <xf numFmtId="166" fontId="12" fillId="0" borderId="14" xfId="1" applyNumberFormat="1" applyFont="1" applyBorder="1"/>
    <xf numFmtId="0" fontId="13" fillId="0" borderId="0" xfId="1" applyFont="1" applyBorder="1"/>
    <xf numFmtId="0" fontId="21" fillId="0" borderId="0" xfId="1" applyFont="1" applyBorder="1"/>
    <xf numFmtId="3" fontId="13" fillId="0" borderId="0" xfId="1" applyNumberFormat="1" applyFont="1" applyBorder="1"/>
    <xf numFmtId="166" fontId="12" fillId="0" borderId="15" xfId="1" applyNumberFormat="1" applyFont="1" applyBorder="1"/>
    <xf numFmtId="0" fontId="26" fillId="0" borderId="16" xfId="1" applyFont="1" applyBorder="1"/>
    <xf numFmtId="0" fontId="12" fillId="0" borderId="16" xfId="1" applyFont="1" applyBorder="1"/>
    <xf numFmtId="3" fontId="12" fillId="0" borderId="16" xfId="4" applyNumberFormat="1" applyFont="1" applyFill="1" applyBorder="1" applyAlignment="1"/>
    <xf numFmtId="3" fontId="13" fillId="0" borderId="16" xfId="4" applyNumberFormat="1" applyFont="1" applyFill="1" applyBorder="1" applyAlignment="1"/>
    <xf numFmtId="3" fontId="12" fillId="0" borderId="17" xfId="1" applyNumberFormat="1" applyFont="1" applyBorder="1"/>
    <xf numFmtId="0" fontId="12" fillId="4" borderId="1" xfId="1" applyFont="1" applyFill="1" applyBorder="1" applyAlignment="1">
      <alignment horizontal="right"/>
    </xf>
    <xf numFmtId="0" fontId="12" fillId="4" borderId="1" xfId="1" applyFont="1" applyFill="1" applyBorder="1"/>
    <xf numFmtId="166" fontId="12" fillId="4" borderId="18" xfId="1" applyNumberFormat="1" applyFont="1" applyFill="1" applyBorder="1"/>
    <xf numFmtId="166" fontId="13" fillId="4" borderId="18" xfId="1" applyNumberFormat="1" applyFont="1" applyFill="1" applyBorder="1"/>
    <xf numFmtId="166" fontId="12" fillId="4" borderId="8" xfId="1" applyNumberFormat="1" applyFont="1" applyFill="1" applyBorder="1"/>
    <xf numFmtId="0" fontId="26" fillId="3" borderId="0" xfId="1" applyFont="1" applyFill="1" applyBorder="1"/>
    <xf numFmtId="3" fontId="13" fillId="3" borderId="12" xfId="1" applyNumberFormat="1" applyFont="1" applyFill="1" applyBorder="1"/>
    <xf numFmtId="0" fontId="12" fillId="3" borderId="0" xfId="1" applyFont="1" applyFill="1"/>
    <xf numFmtId="0" fontId="12" fillId="3" borderId="2" xfId="1" applyFont="1" applyFill="1" applyBorder="1"/>
    <xf numFmtId="166" fontId="12" fillId="3" borderId="0" xfId="1" applyNumberFormat="1" applyFont="1" applyFill="1" applyBorder="1"/>
    <xf numFmtId="166" fontId="13" fillId="3" borderId="0" xfId="1" applyNumberFormat="1" applyFont="1" applyFill="1" applyBorder="1"/>
    <xf numFmtId="166" fontId="12" fillId="3" borderId="14" xfId="1" applyNumberFormat="1" applyFont="1" applyFill="1" applyBorder="1"/>
    <xf numFmtId="166" fontId="22" fillId="3" borderId="8" xfId="1" applyNumberFormat="1" applyFont="1" applyFill="1" applyBorder="1"/>
    <xf numFmtId="0" fontId="26" fillId="3" borderId="0" xfId="4" applyFont="1" applyFill="1" applyBorder="1" applyAlignment="1">
      <alignment horizontal="right"/>
    </xf>
    <xf numFmtId="3" fontId="13" fillId="3" borderId="0" xfId="4" applyNumberFormat="1" applyFont="1" applyFill="1" applyBorder="1" applyAlignment="1"/>
    <xf numFmtId="3" fontId="12" fillId="3" borderId="0" xfId="1" applyNumberFormat="1" applyFont="1" applyFill="1"/>
    <xf numFmtId="166" fontId="12" fillId="3" borderId="2" xfId="1" applyNumberFormat="1" applyFont="1" applyFill="1" applyBorder="1"/>
    <xf numFmtId="166" fontId="13" fillId="3" borderId="2" xfId="1" applyNumberFormat="1" applyFont="1" applyFill="1" applyBorder="1"/>
    <xf numFmtId="166" fontId="12" fillId="3" borderId="7" xfId="1" applyNumberFormat="1" applyFont="1" applyFill="1" applyBorder="1"/>
    <xf numFmtId="166" fontId="12" fillId="3" borderId="4" xfId="1" applyNumberFormat="1" applyFont="1" applyFill="1" applyBorder="1"/>
    <xf numFmtId="0" fontId="26" fillId="0" borderId="0" xfId="1" applyFont="1" applyBorder="1" applyAlignment="1">
      <alignment horizontal="right"/>
    </xf>
    <xf numFmtId="3" fontId="13" fillId="0" borderId="1" xfId="1" applyNumberFormat="1" applyFont="1" applyBorder="1"/>
    <xf numFmtId="0" fontId="12" fillId="4" borderId="0" xfId="1" applyFont="1" applyFill="1" applyAlignment="1">
      <alignment horizontal="right"/>
    </xf>
    <xf numFmtId="0" fontId="12" fillId="4" borderId="0" xfId="1" applyFont="1" applyFill="1"/>
    <xf numFmtId="0" fontId="19" fillId="0" borderId="8" xfId="1" applyFont="1" applyBorder="1" applyAlignment="1">
      <alignment horizontal="right"/>
    </xf>
    <xf numFmtId="166" fontId="19" fillId="0" borderId="8" xfId="1" applyNumberFormat="1" applyFont="1" applyBorder="1"/>
    <xf numFmtId="166" fontId="19" fillId="0" borderId="1" xfId="1" applyNumberFormat="1" applyFont="1" applyBorder="1"/>
    <xf numFmtId="0" fontId="19" fillId="0" borderId="0" xfId="1" applyFont="1" applyBorder="1" applyAlignment="1">
      <alignment horizontal="right"/>
    </xf>
    <xf numFmtId="0" fontId="19" fillId="0" borderId="0" xfId="1" applyFont="1" applyBorder="1"/>
    <xf numFmtId="0" fontId="26" fillId="0" borderId="0" xfId="1" applyFont="1" applyBorder="1"/>
    <xf numFmtId="0" fontId="26" fillId="0" borderId="0" xfId="4" applyFont="1" applyFill="1" applyBorder="1" applyAlignment="1"/>
    <xf numFmtId="3" fontId="22" fillId="0" borderId="0" xfId="1" applyNumberFormat="1" applyFont="1" applyBorder="1"/>
    <xf numFmtId="10" fontId="12" fillId="0" borderId="0" xfId="1" applyNumberFormat="1" applyFont="1"/>
    <xf numFmtId="0" fontId="12" fillId="0" borderId="19" xfId="1" applyFont="1" applyBorder="1"/>
    <xf numFmtId="0" fontId="26" fillId="3" borderId="0" xfId="4" applyFont="1" applyFill="1" applyBorder="1" applyAlignment="1"/>
    <xf numFmtId="0" fontId="13" fillId="3" borderId="0" xfId="4" applyFont="1" applyFill="1" applyBorder="1" applyAlignment="1"/>
    <xf numFmtId="166" fontId="12" fillId="0" borderId="19" xfId="1" applyNumberFormat="1" applyFont="1" applyBorder="1"/>
    <xf numFmtId="0" fontId="13" fillId="0" borderId="1" xfId="4" applyFont="1" applyFill="1" applyBorder="1" applyAlignment="1"/>
    <xf numFmtId="166" fontId="12" fillId="0" borderId="18" xfId="1" applyNumberFormat="1" applyFont="1" applyBorder="1"/>
    <xf numFmtId="166" fontId="13" fillId="0" borderId="18" xfId="1" applyNumberFormat="1" applyFont="1" applyBorder="1"/>
    <xf numFmtId="10" fontId="12" fillId="0" borderId="0" xfId="1" applyNumberFormat="1" applyFont="1" applyBorder="1"/>
    <xf numFmtId="0" fontId="26" fillId="0" borderId="0" xfId="4" applyFont="1" applyFill="1" applyBorder="1" applyAlignment="1">
      <alignment horizontal="right"/>
    </xf>
    <xf numFmtId="3" fontId="12" fillId="0" borderId="1" xfId="4" applyNumberFormat="1" applyFont="1" applyFill="1" applyBorder="1" applyAlignment="1">
      <alignment horizontal="right"/>
    </xf>
    <xf numFmtId="3" fontId="13" fillId="0" borderId="1" xfId="4" applyNumberFormat="1" applyFont="1" applyFill="1" applyBorder="1" applyAlignment="1">
      <alignment horizontal="right"/>
    </xf>
    <xf numFmtId="3" fontId="13" fillId="0" borderId="0" xfId="4" applyNumberFormat="1" applyFont="1" applyFill="1" applyBorder="1" applyAlignment="1">
      <alignment horizontal="right"/>
    </xf>
    <xf numFmtId="0" fontId="12" fillId="0" borderId="8" xfId="1" applyFont="1" applyBorder="1"/>
    <xf numFmtId="166" fontId="19" fillId="0" borderId="20" xfId="1" applyNumberFormat="1" applyFont="1" applyBorder="1"/>
    <xf numFmtId="3" fontId="12" fillId="0" borderId="0" xfId="4" applyNumberFormat="1" applyFont="1" applyFill="1" applyBorder="1" applyAlignment="1">
      <alignment horizontal="right"/>
    </xf>
    <xf numFmtId="3" fontId="13" fillId="0" borderId="2" xfId="4" applyNumberFormat="1" applyFont="1" applyFill="1" applyBorder="1" applyAlignment="1">
      <alignment horizontal="right"/>
    </xf>
    <xf numFmtId="3" fontId="12" fillId="0" borderId="2" xfId="4" applyNumberFormat="1" applyFont="1" applyFill="1" applyBorder="1" applyAlignment="1">
      <alignment horizontal="right"/>
    </xf>
    <xf numFmtId="3" fontId="12" fillId="0" borderId="2" xfId="1" applyNumberFormat="1" applyFont="1" applyBorder="1"/>
    <xf numFmtId="0" fontId="12" fillId="0" borderId="0" xfId="3" applyFont="1" applyBorder="1"/>
    <xf numFmtId="3" fontId="13" fillId="0" borderId="0" xfId="3" applyNumberFormat="1" applyFont="1" applyAlignment="1">
      <alignment horizontal="center"/>
    </xf>
    <xf numFmtId="3" fontId="12" fillId="0" borderId="0" xfId="3" applyNumberFormat="1" applyFont="1" applyAlignment="1">
      <alignment horizontal="center"/>
    </xf>
    <xf numFmtId="0" fontId="12" fillId="0" borderId="0" xfId="1" applyFont="1" applyFill="1"/>
    <xf numFmtId="3" fontId="16" fillId="0" borderId="0" xfId="3" quotePrefix="1" applyNumberFormat="1" applyFont="1" applyAlignment="1">
      <alignment horizontal="center"/>
    </xf>
    <xf numFmtId="3" fontId="15" fillId="0" borderId="0" xfId="3" quotePrefix="1" applyNumberFormat="1" applyFont="1" applyAlignment="1">
      <alignment horizontal="center"/>
    </xf>
    <xf numFmtId="0" fontId="15" fillId="0" borderId="0" xfId="3" applyFont="1" applyBorder="1"/>
    <xf numFmtId="0" fontId="13" fillId="0" borderId="0" xfId="3" applyFont="1" applyBorder="1"/>
    <xf numFmtId="3" fontId="13" fillId="0" borderId="0" xfId="3" applyNumberFormat="1" applyFont="1" applyBorder="1"/>
    <xf numFmtId="3" fontId="12" fillId="0" borderId="0" xfId="3" applyNumberFormat="1" applyFont="1" applyBorder="1"/>
    <xf numFmtId="3" fontId="12" fillId="0" borderId="0" xfId="3" applyNumberFormat="1" applyFont="1"/>
    <xf numFmtId="3" fontId="12" fillId="0" borderId="0" xfId="7" applyNumberFormat="1" applyFont="1" applyAlignment="1"/>
    <xf numFmtId="0" fontId="13" fillId="0" borderId="8" xfId="1" applyFont="1" applyBorder="1"/>
    <xf numFmtId="166" fontId="13" fillId="0" borderId="8" xfId="1" applyNumberFormat="1" applyFont="1" applyBorder="1"/>
    <xf numFmtId="166" fontId="12" fillId="0" borderId="8" xfId="1" applyNumberFormat="1" applyFont="1" applyBorder="1"/>
    <xf numFmtId="0" fontId="12" fillId="0" borderId="20" xfId="1" applyFont="1" applyBorder="1"/>
    <xf numFmtId="166" fontId="13" fillId="0" borderId="1" xfId="1" applyNumberFormat="1" applyFont="1" applyBorder="1"/>
    <xf numFmtId="166" fontId="12" fillId="0" borderId="1" xfId="1" applyNumberFormat="1" applyFont="1" applyBorder="1"/>
    <xf numFmtId="166" fontId="12" fillId="0" borderId="21" xfId="1" applyNumberFormat="1" applyFont="1" applyBorder="1"/>
    <xf numFmtId="0" fontId="12" fillId="0" borderId="0" xfId="3" applyFont="1" applyFill="1" applyBorder="1"/>
    <xf numFmtId="3" fontId="12" fillId="0" borderId="0" xfId="1" applyNumberFormat="1" applyFont="1" applyFill="1" applyBorder="1"/>
    <xf numFmtId="0" fontId="13" fillId="0" borderId="0" xfId="3" applyFont="1" applyFill="1" applyBorder="1"/>
    <xf numFmtId="3" fontId="13" fillId="0" borderId="0" xfId="3" applyNumberFormat="1" applyFont="1" applyFill="1" applyBorder="1"/>
    <xf numFmtId="166" fontId="12" fillId="0" borderId="22" xfId="1" applyNumberFormat="1" applyFont="1" applyBorder="1"/>
    <xf numFmtId="3" fontId="12" fillId="0" borderId="0" xfId="3" applyNumberFormat="1" applyFont="1" applyFill="1"/>
    <xf numFmtId="0" fontId="12" fillId="0" borderId="8" xfId="1" applyFont="1" applyBorder="1" applyAlignment="1">
      <alignment horizontal="right"/>
    </xf>
    <xf numFmtId="166" fontId="20" fillId="0" borderId="8" xfId="1" applyNumberFormat="1" applyFont="1" applyBorder="1"/>
    <xf numFmtId="166" fontId="12" fillId="0" borderId="20" xfId="1" applyNumberFormat="1" applyFont="1" applyBorder="1"/>
    <xf numFmtId="166" fontId="21" fillId="0" borderId="0" xfId="1" applyNumberFormat="1" applyFont="1" applyAlignment="1">
      <alignment horizontal="right"/>
    </xf>
    <xf numFmtId="166" fontId="22" fillId="0" borderId="0" xfId="1" applyNumberFormat="1" applyFont="1"/>
    <xf numFmtId="3" fontId="12" fillId="0" borderId="1" xfId="1" applyNumberFormat="1" applyFont="1" applyBorder="1" applyAlignment="1">
      <alignment horizontal="right"/>
    </xf>
    <xf numFmtId="0" fontId="13" fillId="0" borderId="1" xfId="3" applyFont="1" applyBorder="1"/>
    <xf numFmtId="3" fontId="13" fillId="0" borderId="1" xfId="3" applyNumberFormat="1" applyFont="1" applyBorder="1"/>
    <xf numFmtId="3" fontId="12" fillId="0" borderId="1" xfId="3" applyNumberFormat="1" applyFont="1" applyBorder="1"/>
    <xf numFmtId="166" fontId="13" fillId="0" borderId="0" xfId="2" applyNumberFormat="1" applyFont="1" applyFill="1" applyBorder="1" applyAlignment="1">
      <alignment horizontal="right"/>
    </xf>
    <xf numFmtId="166" fontId="13" fillId="0" borderId="0" xfId="2" applyNumberFormat="1" applyFont="1" applyFill="1" applyBorder="1" applyAlignment="1"/>
    <xf numFmtId="166" fontId="12" fillId="0" borderId="0" xfId="2" applyNumberFormat="1" applyFont="1" applyFill="1" applyBorder="1" applyAlignment="1"/>
    <xf numFmtId="166" fontId="13" fillId="0" borderId="23" xfId="1" applyNumberFormat="1" applyFont="1" applyBorder="1"/>
    <xf numFmtId="166" fontId="12" fillId="0" borderId="23" xfId="1" applyNumberFormat="1" applyFont="1" applyBorder="1"/>
    <xf numFmtId="166" fontId="12" fillId="0" borderId="24" xfId="1" applyNumberFormat="1" applyFont="1" applyBorder="1"/>
    <xf numFmtId="0" fontId="12" fillId="0" borderId="0" xfId="3" quotePrefix="1" applyFont="1" applyBorder="1" applyAlignment="1">
      <alignment horizontal="right"/>
    </xf>
    <xf numFmtId="0" fontId="12" fillId="0" borderId="1" xfId="1" applyFont="1" applyBorder="1"/>
    <xf numFmtId="3" fontId="12" fillId="0" borderId="25" xfId="3" applyNumberFormat="1" applyFont="1" applyBorder="1"/>
    <xf numFmtId="0" fontId="28" fillId="0" borderId="0" xfId="7" applyFont="1" applyBorder="1" applyAlignment="1">
      <alignment horizontal="left"/>
    </xf>
    <xf numFmtId="0" fontId="29" fillId="0" borderId="0" xfId="7" applyFont="1" applyBorder="1" applyAlignment="1"/>
    <xf numFmtId="1" fontId="29" fillId="0" borderId="0" xfId="7" applyNumberFormat="1" applyFont="1" applyBorder="1" applyAlignment="1">
      <alignment horizontal="right"/>
    </xf>
    <xf numFmtId="0" fontId="30" fillId="0" borderId="0" xfId="7" applyFont="1" applyBorder="1" applyAlignment="1">
      <alignment horizontal="right"/>
    </xf>
    <xf numFmtId="0" fontId="30" fillId="0" borderId="0" xfId="3" applyFont="1" applyBorder="1" applyAlignment="1">
      <alignment horizontal="center"/>
    </xf>
    <xf numFmtId="0" fontId="29" fillId="0" borderId="0" xfId="3" applyFont="1" applyBorder="1" applyAlignment="1">
      <alignment horizontal="center"/>
    </xf>
    <xf numFmtId="3" fontId="29" fillId="0" borderId="0" xfId="7" applyNumberFormat="1" applyFont="1" applyBorder="1" applyAlignment="1"/>
    <xf numFmtId="0" fontId="29" fillId="0" borderId="0" xfId="7" applyFont="1" applyFill="1" applyBorder="1" applyAlignment="1"/>
    <xf numFmtId="1" fontId="29" fillId="0" borderId="0" xfId="7" applyNumberFormat="1" applyFont="1" applyFill="1" applyBorder="1" applyAlignment="1">
      <alignment horizontal="right"/>
    </xf>
    <xf numFmtId="0" fontId="30" fillId="0" borderId="0" xfId="3" applyFont="1" applyFill="1" applyBorder="1" applyAlignment="1">
      <alignment horizontal="right"/>
    </xf>
    <xf numFmtId="167" fontId="30" fillId="0" borderId="0" xfId="3" applyNumberFormat="1" applyFont="1" applyFill="1" applyBorder="1" applyAlignment="1">
      <alignment horizontal="right"/>
    </xf>
    <xf numFmtId="167" fontId="29" fillId="0" borderId="0" xfId="3" applyNumberFormat="1" applyFont="1" applyFill="1" applyBorder="1" applyAlignment="1">
      <alignment horizontal="right"/>
    </xf>
    <xf numFmtId="3" fontId="29" fillId="0" borderId="0" xfId="3" applyNumberFormat="1" applyFont="1" applyFill="1" applyBorder="1"/>
    <xf numFmtId="0" fontId="31" fillId="0" borderId="0" xfId="7" applyFont="1" applyBorder="1" applyAlignment="1"/>
    <xf numFmtId="0" fontId="32" fillId="0" borderId="0" xfId="7" applyFont="1" applyBorder="1" applyAlignment="1">
      <alignment horizontal="right"/>
    </xf>
    <xf numFmtId="0" fontId="32" fillId="0" borderId="0" xfId="3" applyFont="1" applyBorder="1" applyAlignment="1">
      <alignment horizontal="center"/>
    </xf>
    <xf numFmtId="0" fontId="31" fillId="0" borderId="0" xfId="3" applyFont="1" applyBorder="1" applyAlignment="1">
      <alignment horizontal="center"/>
    </xf>
    <xf numFmtId="3" fontId="31" fillId="0" borderId="0" xfId="7" applyNumberFormat="1" applyFont="1" applyBorder="1" applyAlignment="1"/>
    <xf numFmtId="0" fontId="30" fillId="0" borderId="0" xfId="3" applyFont="1" applyBorder="1"/>
    <xf numFmtId="0" fontId="29" fillId="0" borderId="0" xfId="3" applyFont="1" applyBorder="1"/>
    <xf numFmtId="0" fontId="22" fillId="0" borderId="0" xfId="3" applyFont="1" applyFill="1" applyBorder="1"/>
    <xf numFmtId="3" fontId="22" fillId="0" borderId="0" xfId="3" applyNumberFormat="1" applyFont="1" applyFill="1" applyBorder="1"/>
    <xf numFmtId="0" fontId="21" fillId="0" borderId="0" xfId="3" applyFont="1" applyFill="1" applyBorder="1"/>
    <xf numFmtId="0" fontId="21" fillId="0" borderId="0" xfId="3" applyFont="1" applyBorder="1"/>
    <xf numFmtId="3" fontId="21" fillId="0" borderId="0" xfId="3" applyNumberFormat="1" applyFont="1" applyBorder="1"/>
    <xf numFmtId="3" fontId="22" fillId="0" borderId="0" xfId="3" applyNumberFormat="1" applyFont="1" applyBorder="1"/>
    <xf numFmtId="3" fontId="12" fillId="0" borderId="0" xfId="3" applyNumberFormat="1" applyFont="1" applyFill="1" applyBorder="1"/>
    <xf numFmtId="0" fontId="29" fillId="0" borderId="0" xfId="7" applyFont="1" applyBorder="1" applyAlignment="1">
      <alignment horizontal="right"/>
    </xf>
    <xf numFmtId="0" fontId="26" fillId="0" borderId="0" xfId="1" applyFont="1" applyFill="1" applyBorder="1"/>
    <xf numFmtId="3" fontId="13" fillId="0" borderId="0" xfId="1" applyNumberFormat="1" applyFont="1" applyFill="1" applyBorder="1"/>
    <xf numFmtId="0" fontId="26" fillId="0" borderId="0" xfId="1" applyFont="1" applyFill="1" applyBorder="1" applyAlignment="1">
      <alignment horizontal="right"/>
    </xf>
    <xf numFmtId="0" fontId="13" fillId="0" borderId="0" xfId="1" applyFont="1" applyFill="1" applyBorder="1"/>
    <xf numFmtId="3" fontId="13" fillId="0" borderId="0" xfId="1" applyNumberFormat="1" applyFont="1" applyBorder="1" applyAlignment="1">
      <alignment horizontal="right"/>
    </xf>
    <xf numFmtId="0" fontId="36" fillId="0" borderId="0" xfId="3" applyFont="1" applyAlignment="1">
      <alignment horizontal="right"/>
    </xf>
    <xf numFmtId="0" fontId="36" fillId="0" borderId="0" xfId="3" applyFont="1"/>
    <xf numFmtId="166" fontId="28" fillId="0" borderId="0" xfId="3" applyNumberFormat="1" applyFont="1"/>
    <xf numFmtId="4" fontId="28" fillId="0" borderId="0" xfId="3" applyNumberFormat="1" applyFont="1"/>
    <xf numFmtId="0" fontId="28" fillId="0" borderId="0" xfId="3" applyFont="1"/>
    <xf numFmtId="0" fontId="37" fillId="0" borderId="0" xfId="3" applyFont="1"/>
    <xf numFmtId="166" fontId="38" fillId="0" borderId="0" xfId="3" applyNumberFormat="1" applyFont="1"/>
    <xf numFmtId="4" fontId="39" fillId="0" borderId="0" xfId="3" quotePrefix="1" applyNumberFormat="1" applyFont="1"/>
    <xf numFmtId="166" fontId="40" fillId="0" borderId="0" xfId="3" applyNumberFormat="1" applyFont="1" applyAlignment="1">
      <alignment horizontal="center"/>
    </xf>
    <xf numFmtId="4" fontId="40" fillId="0" borderId="0" xfId="3" applyNumberFormat="1" applyFont="1" applyAlignment="1">
      <alignment horizontal="center"/>
    </xf>
    <xf numFmtId="0" fontId="40" fillId="0" borderId="0" xfId="3" applyFont="1" applyAlignment="1">
      <alignment horizontal="center"/>
    </xf>
    <xf numFmtId="166" fontId="28" fillId="0" borderId="0" xfId="3" applyNumberFormat="1" applyFont="1" applyAlignment="1">
      <alignment horizontal="right" vertical="center"/>
    </xf>
    <xf numFmtId="10" fontId="28" fillId="0" borderId="0" xfId="3" applyNumberFormat="1" applyFont="1" applyAlignment="1">
      <alignment horizontal="right"/>
    </xf>
    <xf numFmtId="166" fontId="28" fillId="0" borderId="0" xfId="3" applyNumberFormat="1" applyFont="1" applyAlignment="1">
      <alignment horizontal="right"/>
    </xf>
    <xf numFmtId="3" fontId="28" fillId="0" borderId="0" xfId="3" applyNumberFormat="1" applyFont="1" applyAlignment="1">
      <alignment horizontal="right"/>
    </xf>
    <xf numFmtId="3" fontId="28" fillId="0" borderId="0" xfId="3" applyNumberFormat="1" applyFont="1"/>
    <xf numFmtId="3" fontId="28" fillId="0" borderId="3" xfId="3" applyNumberFormat="1" applyFont="1" applyBorder="1"/>
    <xf numFmtId="3" fontId="41" fillId="0" borderId="0" xfId="1" applyNumberFormat="1" applyFont="1"/>
    <xf numFmtId="0" fontId="28" fillId="0" borderId="0" xfId="3" applyFont="1" applyAlignment="1">
      <alignment horizontal="right"/>
    </xf>
    <xf numFmtId="0" fontId="42" fillId="0" borderId="0" xfId="3" applyFont="1" applyAlignment="1">
      <alignment horizontal="right"/>
    </xf>
    <xf numFmtId="166" fontId="42" fillId="0" borderId="0" xfId="3" applyNumberFormat="1" applyFont="1"/>
    <xf numFmtId="166" fontId="42" fillId="0" borderId="3" xfId="3" applyNumberFormat="1" applyFont="1" applyBorder="1"/>
    <xf numFmtId="166" fontId="28" fillId="0" borderId="3" xfId="3" applyNumberFormat="1" applyFont="1" applyBorder="1"/>
    <xf numFmtId="0" fontId="43" fillId="0" borderId="0" xfId="3" applyFont="1" applyAlignment="1">
      <alignment horizontal="right"/>
    </xf>
    <xf numFmtId="166" fontId="43" fillId="0" borderId="0" xfId="3" applyNumberFormat="1" applyFont="1" applyAlignment="1">
      <alignment horizontal="right"/>
    </xf>
    <xf numFmtId="166" fontId="43" fillId="0" borderId="0" xfId="3" applyNumberFormat="1" applyFont="1"/>
    <xf numFmtId="166" fontId="43" fillId="0" borderId="3" xfId="3" applyNumberFormat="1" applyFont="1" applyBorder="1"/>
    <xf numFmtId="0" fontId="43" fillId="0" borderId="0" xfId="3" applyFont="1"/>
    <xf numFmtId="0" fontId="28" fillId="0" borderId="2" xfId="3" applyFont="1" applyBorder="1" applyAlignment="1">
      <alignment horizontal="right"/>
    </xf>
    <xf numFmtId="166" fontId="28" fillId="0" borderId="2" xfId="3" applyNumberFormat="1" applyFont="1" applyBorder="1"/>
    <xf numFmtId="166" fontId="28" fillId="0" borderId="4" xfId="3" applyNumberFormat="1" applyFont="1" applyBorder="1"/>
    <xf numFmtId="3" fontId="28" fillId="0" borderId="25" xfId="3" applyNumberFormat="1" applyFont="1" applyBorder="1"/>
    <xf numFmtId="3" fontId="28" fillId="0" borderId="6" xfId="3" applyNumberFormat="1" applyFont="1" applyBorder="1"/>
    <xf numFmtId="0" fontId="42" fillId="0" borderId="2" xfId="3" applyFont="1" applyBorder="1" applyAlignment="1">
      <alignment horizontal="right"/>
    </xf>
    <xf numFmtId="169" fontId="28" fillId="0" borderId="2" xfId="3" applyNumberFormat="1" applyFont="1" applyBorder="1"/>
    <xf numFmtId="169" fontId="28" fillId="0" borderId="3" xfId="3" applyNumberFormat="1" applyFont="1" applyBorder="1"/>
    <xf numFmtId="0" fontId="28" fillId="0" borderId="0" xfId="3" applyFont="1" applyBorder="1" applyAlignment="1">
      <alignment horizontal="right"/>
    </xf>
    <xf numFmtId="3" fontId="28" fillId="0" borderId="0" xfId="3" applyNumberFormat="1" applyFont="1" applyBorder="1"/>
    <xf numFmtId="3" fontId="28" fillId="0" borderId="2" xfId="3" applyNumberFormat="1" applyFont="1" applyBorder="1"/>
    <xf numFmtId="3" fontId="28" fillId="0" borderId="4" xfId="3" applyNumberFormat="1" applyFont="1" applyBorder="1"/>
    <xf numFmtId="170" fontId="28" fillId="0" borderId="0" xfId="3" applyNumberFormat="1" applyFont="1" applyAlignment="1">
      <alignment horizontal="right"/>
    </xf>
    <xf numFmtId="171" fontId="44" fillId="0" borderId="0" xfId="3" applyNumberFormat="1" applyFont="1" applyAlignment="1">
      <alignment horizontal="left"/>
    </xf>
    <xf numFmtId="171" fontId="28" fillId="0" borderId="0" xfId="3" applyNumberFormat="1" applyFont="1" applyAlignment="1">
      <alignment horizontal="right"/>
    </xf>
    <xf numFmtId="0" fontId="28" fillId="0" borderId="3" xfId="3" applyFont="1" applyBorder="1"/>
    <xf numFmtId="166" fontId="42" fillId="0" borderId="0" xfId="3" applyNumberFormat="1" applyFont="1" applyAlignment="1">
      <alignment horizontal="right"/>
    </xf>
    <xf numFmtId="3" fontId="28" fillId="0" borderId="0" xfId="1" applyNumberFormat="1" applyFont="1" applyAlignment="1">
      <alignment horizontal="right"/>
    </xf>
    <xf numFmtId="3" fontId="28" fillId="0" borderId="0" xfId="1" applyNumberFormat="1" applyFont="1"/>
    <xf numFmtId="168" fontId="28" fillId="0" borderId="0" xfId="3" applyNumberFormat="1" applyFont="1"/>
    <xf numFmtId="166" fontId="28" fillId="0" borderId="0" xfId="1" applyNumberFormat="1" applyFont="1"/>
    <xf numFmtId="0" fontId="43" fillId="0" borderId="0" xfId="1" applyFont="1"/>
    <xf numFmtId="0" fontId="28" fillId="0" borderId="0" xfId="1" applyFont="1"/>
    <xf numFmtId="3" fontId="28" fillId="0" borderId="26" xfId="3" applyNumberFormat="1" applyFont="1" applyBorder="1" applyAlignment="1">
      <alignment horizontal="right"/>
    </xf>
    <xf numFmtId="166" fontId="28" fillId="0" borderId="27" xfId="3" applyNumberFormat="1" applyFont="1" applyBorder="1" applyAlignment="1">
      <alignment horizontal="right"/>
    </xf>
    <xf numFmtId="3" fontId="28" fillId="0" borderId="0" xfId="3" applyNumberFormat="1" applyFont="1" applyBorder="1" applyAlignment="1">
      <alignment horizontal="right"/>
    </xf>
    <xf numFmtId="3" fontId="28" fillId="0" borderId="27" xfId="3" applyNumberFormat="1" applyFont="1" applyBorder="1" applyAlignment="1">
      <alignment horizontal="right"/>
    </xf>
    <xf numFmtId="3" fontId="28" fillId="0" borderId="28" xfId="3" applyNumberFormat="1" applyFont="1" applyBorder="1" applyAlignment="1">
      <alignment horizontal="right"/>
    </xf>
    <xf numFmtId="166" fontId="28" fillId="0" borderId="0" xfId="3" applyNumberFormat="1" applyFont="1" applyBorder="1" applyAlignment="1">
      <alignment horizontal="right"/>
    </xf>
    <xf numFmtId="3" fontId="28" fillId="0" borderId="14" xfId="3" applyNumberFormat="1" applyFont="1" applyBorder="1"/>
    <xf numFmtId="3" fontId="28" fillId="0" borderId="27" xfId="3" applyNumberFormat="1" applyFont="1" applyBorder="1"/>
    <xf numFmtId="3" fontId="28" fillId="0" borderId="28" xfId="3" applyNumberFormat="1" applyFont="1" applyBorder="1"/>
    <xf numFmtId="166" fontId="28" fillId="0" borderId="27" xfId="3" applyNumberFormat="1" applyFont="1" applyBorder="1"/>
    <xf numFmtId="166" fontId="28" fillId="0" borderId="28" xfId="3" applyNumberFormat="1" applyFont="1" applyBorder="1"/>
    <xf numFmtId="166" fontId="28" fillId="0" borderId="0" xfId="3" applyNumberFormat="1" applyFont="1" applyBorder="1"/>
    <xf numFmtId="166" fontId="28" fillId="0" borderId="14" xfId="3" applyNumberFormat="1" applyFont="1" applyBorder="1"/>
    <xf numFmtId="166" fontId="28" fillId="0" borderId="0" xfId="3" applyNumberFormat="1" applyFont="1" applyAlignment="1">
      <alignment horizontal="center"/>
    </xf>
    <xf numFmtId="166" fontId="28" fillId="0" borderId="0" xfId="3" quotePrefix="1" applyNumberFormat="1" applyFont="1"/>
    <xf numFmtId="0" fontId="5" fillId="0" borderId="0" xfId="4" applyAlignment="1"/>
    <xf numFmtId="0" fontId="45" fillId="0" borderId="0" xfId="4" applyFont="1" applyAlignment="1"/>
    <xf numFmtId="0" fontId="5" fillId="0" borderId="0" xfId="4" applyFont="1" applyAlignment="1"/>
    <xf numFmtId="0" fontId="46" fillId="0" borderId="29" xfId="4" applyFont="1" applyFill="1" applyBorder="1" applyAlignment="1">
      <alignment horizontal="center"/>
    </xf>
    <xf numFmtId="0" fontId="47" fillId="0" borderId="0" xfId="4" applyFont="1" applyBorder="1" applyAlignment="1"/>
    <xf numFmtId="0" fontId="34" fillId="0" borderId="0" xfId="4" applyFont="1" applyAlignment="1"/>
    <xf numFmtId="0" fontId="48" fillId="0" borderId="29" xfId="4" applyFont="1" applyFill="1" applyBorder="1" applyAlignment="1">
      <alignment horizontal="center"/>
    </xf>
    <xf numFmtId="0" fontId="48" fillId="0" borderId="29" xfId="4" applyFont="1" applyFill="1" applyBorder="1" applyAlignment="1">
      <alignment horizontal="center" wrapText="1"/>
    </xf>
    <xf numFmtId="0" fontId="48" fillId="0" borderId="0" xfId="4" applyFont="1" applyFill="1" applyBorder="1" applyAlignment="1">
      <alignment horizontal="center"/>
    </xf>
    <xf numFmtId="0" fontId="34" fillId="2" borderId="26" xfId="4" applyFont="1" applyFill="1" applyBorder="1" applyAlignment="1"/>
    <xf numFmtId="6" fontId="34" fillId="2" borderId="26" xfId="4" applyNumberFormat="1" applyFont="1" applyFill="1" applyBorder="1" applyAlignment="1"/>
    <xf numFmtId="0" fontId="34" fillId="2" borderId="0" xfId="4" applyFont="1" applyFill="1" applyBorder="1" applyAlignment="1"/>
    <xf numFmtId="6" fontId="34" fillId="2" borderId="0" xfId="4" applyNumberFormat="1" applyFont="1" applyFill="1" applyBorder="1" applyAlignment="1"/>
    <xf numFmtId="6" fontId="34" fillId="2" borderId="0" xfId="4" applyNumberFormat="1" applyFont="1" applyFill="1" applyBorder="1" applyAlignment="1">
      <alignment horizontal="right"/>
    </xf>
    <xf numFmtId="6" fontId="33" fillId="2" borderId="0" xfId="4" applyNumberFormat="1" applyFont="1" applyFill="1" applyBorder="1" applyAlignment="1">
      <alignment horizontal="right"/>
    </xf>
    <xf numFmtId="0" fontId="34" fillId="0" borderId="0" xfId="4" applyFont="1" applyBorder="1" applyAlignment="1"/>
    <xf numFmtId="6" fontId="34" fillId="0" borderId="0" xfId="4" applyNumberFormat="1" applyFont="1" applyBorder="1" applyAlignment="1"/>
    <xf numFmtId="6" fontId="34" fillId="0" borderId="0" xfId="4" applyNumberFormat="1" applyFont="1" applyAlignment="1"/>
    <xf numFmtId="6" fontId="35" fillId="0" borderId="0" xfId="4" applyNumberFormat="1" applyFont="1" applyAlignment="1"/>
    <xf numFmtId="6" fontId="34" fillId="0" borderId="0" xfId="4" applyNumberFormat="1" applyFont="1" applyFill="1" applyAlignment="1"/>
    <xf numFmtId="6" fontId="34" fillId="0" borderId="1" xfId="4" applyNumberFormat="1" applyFont="1" applyBorder="1" applyAlignment="1"/>
    <xf numFmtId="6" fontId="35" fillId="0" borderId="1" xfId="4" applyNumberFormat="1" applyFont="1" applyBorder="1" applyAlignment="1"/>
    <xf numFmtId="0" fontId="34" fillId="0" borderId="0" xfId="4" applyFont="1" applyFill="1" applyBorder="1" applyAlignment="1">
      <alignment horizontal="right"/>
    </xf>
    <xf numFmtId="168" fontId="34" fillId="0" borderId="0" xfId="4" applyNumberFormat="1" applyFont="1" applyAlignment="1"/>
    <xf numFmtId="168" fontId="34" fillId="0" borderId="0" xfId="4" applyNumberFormat="1" applyFont="1" applyFill="1" applyBorder="1" applyAlignment="1">
      <alignment horizontal="right"/>
    </xf>
    <xf numFmtId="0" fontId="5" fillId="0" borderId="0" xfId="4" applyBorder="1" applyAlignment="1"/>
    <xf numFmtId="0" fontId="46" fillId="0" borderId="30" xfId="4" applyFont="1" applyFill="1" applyBorder="1" applyAlignment="1">
      <alignment horizontal="center"/>
    </xf>
    <xf numFmtId="0" fontId="34" fillId="0" borderId="30" xfId="4" applyFont="1" applyBorder="1" applyAlignment="1"/>
    <xf numFmtId="0" fontId="46" fillId="0" borderId="0" xfId="4" applyFont="1" applyFill="1" applyBorder="1" applyAlignment="1">
      <alignment horizontal="center" wrapText="1"/>
    </xf>
    <xf numFmtId="0" fontId="46" fillId="0" borderId="0" xfId="4" applyFont="1" applyFill="1" applyBorder="1" applyAlignment="1">
      <alignment horizontal="center"/>
    </xf>
    <xf numFmtId="3" fontId="34" fillId="2" borderId="0" xfId="4" applyNumberFormat="1" applyFont="1" applyFill="1" applyBorder="1" applyAlignment="1">
      <alignment horizontal="right" wrapText="1"/>
    </xf>
    <xf numFmtId="3" fontId="34" fillId="2" borderId="0" xfId="4" applyNumberFormat="1" applyFont="1" applyFill="1" applyBorder="1" applyAlignment="1">
      <alignment wrapText="1"/>
    </xf>
    <xf numFmtId="3" fontId="34" fillId="2" borderId="0" xfId="4" applyNumberFormat="1" applyFont="1" applyFill="1" applyBorder="1" applyAlignment="1"/>
    <xf numFmtId="0" fontId="49" fillId="0" borderId="0" xfId="4" applyFont="1" applyAlignment="1"/>
    <xf numFmtId="3" fontId="33" fillId="2" borderId="0" xfId="4" applyNumberFormat="1" applyFont="1" applyFill="1" applyBorder="1" applyAlignment="1"/>
    <xf numFmtId="3" fontId="34" fillId="0" borderId="0" xfId="4" applyNumberFormat="1" applyFont="1" applyBorder="1" applyAlignment="1"/>
    <xf numFmtId="3" fontId="34" fillId="0" borderId="0" xfId="4" applyNumberFormat="1" applyFont="1" applyAlignment="1"/>
    <xf numFmtId="3" fontId="34" fillId="0" borderId="0" xfId="4" applyNumberFormat="1" applyFont="1" applyAlignment="1">
      <alignment horizontal="right"/>
    </xf>
    <xf numFmtId="3" fontId="34" fillId="0" borderId="31" xfId="4" applyNumberFormat="1" applyFont="1" applyBorder="1" applyAlignment="1"/>
    <xf numFmtId="3" fontId="50" fillId="0" borderId="0" xfId="4" applyNumberFormat="1" applyFont="1" applyAlignment="1">
      <alignment horizontal="left"/>
    </xf>
    <xf numFmtId="0" fontId="48" fillId="0" borderId="0" xfId="4" applyFont="1" applyAlignment="1">
      <alignment horizontal="center" wrapText="1"/>
    </xf>
    <xf numFmtId="3" fontId="34" fillId="2" borderId="26" xfId="4" applyNumberFormat="1" applyFont="1" applyFill="1" applyBorder="1" applyAlignment="1"/>
    <xf numFmtId="10" fontId="34" fillId="2" borderId="26" xfId="4" applyNumberFormat="1" applyFont="1" applyFill="1" applyBorder="1" applyAlignment="1"/>
    <xf numFmtId="10" fontId="34" fillId="2" borderId="0" xfId="4" applyNumberFormat="1" applyFont="1" applyFill="1" applyBorder="1" applyAlignment="1"/>
    <xf numFmtId="10" fontId="34" fillId="0" borderId="0" xfId="4" applyNumberFormat="1" applyFont="1" applyAlignment="1"/>
    <xf numFmtId="2" fontId="34" fillId="0" borderId="0" xfId="4" applyNumberFormat="1" applyFont="1" applyAlignment="1"/>
    <xf numFmtId="0" fontId="51" fillId="0" borderId="0" xfId="4" applyFont="1" applyAlignment="1"/>
    <xf numFmtId="0" fontId="5" fillId="5" borderId="0" xfId="4" applyFont="1" applyFill="1" applyAlignment="1"/>
    <xf numFmtId="0" fontId="5" fillId="5" borderId="0" xfId="4" applyFill="1" applyAlignment="1"/>
    <xf numFmtId="3" fontId="34" fillId="5" borderId="26" xfId="4" applyNumberFormat="1" applyFont="1" applyFill="1" applyBorder="1" applyAlignment="1">
      <alignment horizontal="right" wrapText="1"/>
    </xf>
    <xf numFmtId="3" fontId="34" fillId="5" borderId="26" xfId="4" applyNumberFormat="1" applyFont="1" applyFill="1" applyBorder="1" applyAlignment="1">
      <alignment horizontal="right"/>
    </xf>
    <xf numFmtId="3" fontId="33" fillId="5" borderId="0" xfId="4" applyNumberFormat="1" applyFont="1" applyFill="1" applyBorder="1" applyAlignment="1"/>
    <xf numFmtId="3" fontId="12" fillId="5" borderId="3" xfId="1" applyNumberFormat="1" applyFont="1" applyFill="1" applyBorder="1"/>
    <xf numFmtId="3" fontId="6" fillId="5" borderId="0" xfId="1" applyNumberFormat="1" applyFont="1" applyFill="1"/>
    <xf numFmtId="2" fontId="0" fillId="0" borderId="0" xfId="0" applyNumberFormat="1"/>
    <xf numFmtId="2" fontId="52" fillId="0" borderId="0" xfId="0" applyNumberFormat="1" applyFont="1"/>
    <xf numFmtId="0" fontId="52" fillId="0" borderId="0" xfId="0" applyFont="1" applyAlignment="1">
      <alignment horizontal="right"/>
    </xf>
    <xf numFmtId="0" fontId="53" fillId="0" borderId="0" xfId="0" applyFont="1"/>
    <xf numFmtId="3" fontId="0" fillId="0" borderId="2" xfId="0" applyNumberFormat="1" applyBorder="1"/>
    <xf numFmtId="3" fontId="0" fillId="0" borderId="0" xfId="0" quotePrefix="1" applyNumberFormat="1" applyAlignment="1">
      <alignment horizontal="center"/>
    </xf>
    <xf numFmtId="3" fontId="1" fillId="0" borderId="0" xfId="0" applyNumberFormat="1" applyFont="1"/>
    <xf numFmtId="0" fontId="0" fillId="0" borderId="0" xfId="0" quotePrefix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/>
    <xf numFmtId="0" fontId="56" fillId="0" borderId="2" xfId="0" applyFont="1" applyBorder="1"/>
    <xf numFmtId="0" fontId="4" fillId="0" borderId="0" xfId="0" applyFont="1" applyAlignment="1">
      <alignment horizontal="right"/>
    </xf>
    <xf numFmtId="3" fontId="57" fillId="0" borderId="0" xfId="3" applyNumberFormat="1" applyFont="1" applyAlignment="1">
      <alignment horizontal="right"/>
    </xf>
    <xf numFmtId="3" fontId="41" fillId="0" borderId="0" xfId="9" applyNumberFormat="1" applyFont="1"/>
    <xf numFmtId="3" fontId="59" fillId="0" borderId="0" xfId="3" applyNumberFormat="1" applyFont="1"/>
    <xf numFmtId="3" fontId="59" fillId="0" borderId="3" xfId="3" applyNumberFormat="1" applyFont="1" applyBorder="1"/>
    <xf numFmtId="0" fontId="57" fillId="0" borderId="0" xfId="3" applyFont="1" applyAlignment="1">
      <alignment horizontal="right"/>
    </xf>
    <xf numFmtId="3" fontId="57" fillId="0" borderId="0" xfId="9" applyNumberFormat="1" applyFont="1"/>
    <xf numFmtId="3" fontId="57" fillId="0" borderId="3" xfId="3" applyNumberFormat="1" applyFont="1" applyBorder="1"/>
    <xf numFmtId="172" fontId="57" fillId="0" borderId="0" xfId="3" applyNumberFormat="1" applyFont="1"/>
    <xf numFmtId="172" fontId="57" fillId="0" borderId="0" xfId="3" applyNumberFormat="1" applyFont="1" applyAlignment="1">
      <alignment horizontal="right"/>
    </xf>
    <xf numFmtId="172" fontId="57" fillId="0" borderId="3" xfId="3" applyNumberFormat="1" applyFont="1" applyBorder="1"/>
    <xf numFmtId="0" fontId="42" fillId="5" borderId="2" xfId="3" applyFont="1" applyFill="1" applyBorder="1" applyAlignment="1">
      <alignment horizontal="right"/>
    </xf>
    <xf numFmtId="169" fontId="28" fillId="5" borderId="2" xfId="3" applyNumberFormat="1" applyFont="1" applyFill="1" applyBorder="1"/>
    <xf numFmtId="166" fontId="28" fillId="5" borderId="3" xfId="3" applyNumberFormat="1" applyFont="1" applyFill="1" applyBorder="1"/>
    <xf numFmtId="166" fontId="28" fillId="5" borderId="0" xfId="3" applyNumberFormat="1" applyFont="1" applyFill="1"/>
    <xf numFmtId="3" fontId="28" fillId="0" borderId="2" xfId="3" applyNumberFormat="1" applyFont="1" applyBorder="1" applyAlignment="1">
      <alignment horizontal="right"/>
    </xf>
    <xf numFmtId="171" fontId="60" fillId="0" borderId="0" xfId="3" applyNumberFormat="1" applyFont="1" applyAlignment="1">
      <alignment horizontal="left"/>
    </xf>
    <xf numFmtId="3" fontId="28" fillId="0" borderId="0" xfId="9" applyNumberFormat="1" applyFont="1" applyAlignment="1">
      <alignment horizontal="right"/>
    </xf>
    <xf numFmtId="3" fontId="28" fillId="0" borderId="0" xfId="9" applyNumberFormat="1" applyFont="1"/>
    <xf numFmtId="168" fontId="28" fillId="0" borderId="0" xfId="9" applyNumberFormat="1" applyFont="1"/>
    <xf numFmtId="166" fontId="28" fillId="0" borderId="0" xfId="9" applyNumberFormat="1" applyFont="1"/>
    <xf numFmtId="0" fontId="43" fillId="0" borderId="0" xfId="9" applyFont="1"/>
    <xf numFmtId="0" fontId="28" fillId="0" borderId="0" xfId="9" applyFont="1"/>
    <xf numFmtId="1" fontId="28" fillId="0" borderId="0" xfId="3" applyNumberFormat="1" applyFont="1"/>
  </cellXfs>
  <cellStyles count="10">
    <cellStyle name="Normal" xfId="0" builtinId="0"/>
    <cellStyle name="Normal 2" xfId="1"/>
    <cellStyle name="Normal 2 2" xfId="3"/>
    <cellStyle name="Normal 2 3" xfId="4"/>
    <cellStyle name="Normal 3" xfId="8"/>
    <cellStyle name="Normal 4" xfId="9"/>
    <cellStyle name="Normal 5" xfId="5"/>
    <cellStyle name="Normal 5 2" xfId="6"/>
    <cellStyle name="Normal_water0506" xfId="2"/>
    <cellStyle name="Normal_water0506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</a:t>
            </a:r>
            <a:r>
              <a:rPr lang="en-US" baseline="0"/>
              <a:t> MBtu Unit of Gas, Wood and Oil</a:t>
            </a:r>
            <a:endParaRPr lang="en-US"/>
          </a:p>
        </c:rich>
      </c:tx>
      <c:layout>
        <c:manualLayout>
          <c:xMode val="edge"/>
          <c:yMode val="edge"/>
          <c:x val="0.30885732488974993"/>
          <c:y val="6.944840556347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83268631560334"/>
          <c:y val="5.1865099209208107E-2"/>
          <c:w val="0.6534321445113479"/>
          <c:h val="0.78317808497834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'Biomass Data_FY1516'!$A$13</c:f>
              <c:strCache>
                <c:ptCount val="1"/>
                <c:pt idx="0">
                  <c:v>MMBtu $/Wood (Net)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'Biomass Data_FY1516'!$B$7:$M$7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'Biomass Data_FY1516'!$B$13:$M$13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3.4199726402188788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1-4000-9CD1-B6C937256CDE}"/>
            </c:ext>
          </c:extLst>
        </c:ser>
        <c:ser>
          <c:idx val="1"/>
          <c:order val="1"/>
          <c:tx>
            <c:strRef>
              <c:f>'Biomass Data_FY1516'!$A$16</c:f>
              <c:strCache>
                <c:ptCount val="1"/>
                <c:pt idx="0">
                  <c:v>MMBtu $/Gas (Net)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'Biomass Data_FY1516'!$B$7:$M$7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'Biomass Data_FY1516'!$B$16:$L$16</c:f>
              <c:numCache>
                <c:formatCode>"$"#,##0.00</c:formatCode>
                <c:ptCount val="11"/>
                <c:pt idx="0">
                  <c:v>4.186129552046407</c:v>
                </c:pt>
                <c:pt idx="1">
                  <c:v>4.1373092139510677</c:v>
                </c:pt>
                <c:pt idx="2">
                  <c:v>4.2725994629003381</c:v>
                </c:pt>
                <c:pt idx="3">
                  <c:v>4.2355578556039033</c:v>
                </c:pt>
                <c:pt idx="4">
                  <c:v>4.5765826806561254</c:v>
                </c:pt>
                <c:pt idx="5">
                  <c:v>4.7146042084168336</c:v>
                </c:pt>
                <c:pt idx="6">
                  <c:v>4.4832620064290172</c:v>
                </c:pt>
                <c:pt idx="7">
                  <c:v>4.9009542981836063</c:v>
                </c:pt>
                <c:pt idx="8">
                  <c:v>4.4677730713770734</c:v>
                </c:pt>
                <c:pt idx="9">
                  <c:v>4.1376300421024039</c:v>
                </c:pt>
                <c:pt idx="10">
                  <c:v>4.1809753231492364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1-4000-9CD1-B6C937256CDE}"/>
            </c:ext>
          </c:extLst>
        </c:ser>
        <c:ser>
          <c:idx val="3"/>
          <c:order val="2"/>
          <c:tx>
            <c:strRef>
              <c:f>'Biomass Data_FY1516'!$A$21</c:f>
              <c:strCache>
                <c:ptCount val="1"/>
                <c:pt idx="0">
                  <c:v>MMBtu $/Oil (Net)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'Biomass Data_FY1516'!$B$21:$M$21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11-4000-9CD1-B6C937256CDE}"/>
            </c:ext>
          </c:extLst>
        </c:ser>
        <c:ser>
          <c:idx val="2"/>
          <c:order val="3"/>
          <c:tx>
            <c:strRef>
              <c:f>'Biomass Data_FY1516'!$A$24</c:f>
              <c:strCache>
                <c:ptCount val="1"/>
                <c:pt idx="0">
                  <c:v>Total MMBtu $/Cost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'Biomass Data_FY1516'!$B$7:$M$7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'Biomass Data_FY1516'!$B$24:$M$24</c:f>
              <c:numCache>
                <c:formatCode>"$"#,##0.000</c:formatCode>
                <c:ptCount val="12"/>
                <c:pt idx="0">
                  <c:v>4.186129552046407</c:v>
                </c:pt>
                <c:pt idx="1">
                  <c:v>4.1373092139510677</c:v>
                </c:pt>
                <c:pt idx="2">
                  <c:v>4.2725994629003381</c:v>
                </c:pt>
                <c:pt idx="3">
                  <c:v>4.2355578556039033</c:v>
                </c:pt>
                <c:pt idx="4">
                  <c:v>4.5765826806561254</c:v>
                </c:pt>
                <c:pt idx="5">
                  <c:v>4.7146042084168336</c:v>
                </c:pt>
                <c:pt idx="6">
                  <c:v>4.4832620064290172</c:v>
                </c:pt>
                <c:pt idx="7">
                  <c:v>4.5416719111657855</c:v>
                </c:pt>
                <c:pt idx="8">
                  <c:v>4.4677730713770734</c:v>
                </c:pt>
                <c:pt idx="9">
                  <c:v>4.1376300421024039</c:v>
                </c:pt>
                <c:pt idx="10">
                  <c:v>4.1809753231492364</c:v>
                </c:pt>
                <c:pt idx="11">
                  <c:v>4.0090022948938611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11-4000-9CD1-B6C937256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303480"/>
        <c:axId val="227303872"/>
      </c:barChart>
      <c:catAx>
        <c:axId val="22730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03872"/>
        <c:crosses val="autoZero"/>
        <c:auto val="1"/>
        <c:lblAlgn val="ctr"/>
        <c:lblOffset val="100"/>
        <c:noMultiLvlLbl val="0"/>
      </c:catAx>
      <c:valAx>
        <c:axId val="2273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 / 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0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3215592296489"/>
          <c:y val="0.19017041513312338"/>
          <c:w val="0.30756281423901305"/>
          <c:h val="0.42098519284757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</a:t>
            </a:r>
            <a:r>
              <a:rPr lang="en-US" baseline="0"/>
              <a:t> MBtu Unit of Gas, Wood and Oil</a:t>
            </a:r>
            <a:endParaRPr lang="en-US"/>
          </a:p>
        </c:rich>
      </c:tx>
      <c:layout>
        <c:manualLayout>
          <c:xMode val="edge"/>
          <c:yMode val="edge"/>
          <c:x val="0.30885732488974993"/>
          <c:y val="6.944840556347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83268631560334"/>
          <c:y val="5.1865099209208107E-2"/>
          <c:w val="0.6534321445113479"/>
          <c:h val="0.78317808497834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'Biomass Data_FY1314'!$A$8</c:f>
              <c:strCache>
                <c:ptCount val="1"/>
                <c:pt idx="0">
                  <c:v>Mbtu $/Wood (Net)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'Biomass Data_FY1314'!$B$2:$M$2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'Biomass Data_FY1314'!$B$8:$M$8</c:f>
              <c:numCache>
                <c:formatCode>"$"#,##0.00</c:formatCode>
                <c:ptCount val="12"/>
                <c:pt idx="0">
                  <c:v>3.2674390621239726</c:v>
                </c:pt>
                <c:pt idx="1">
                  <c:v>4.099937764043279</c:v>
                </c:pt>
                <c:pt idx="2">
                  <c:v>3.9091586001489205</c:v>
                </c:pt>
                <c:pt idx="3">
                  <c:v>3.9255885290561583</c:v>
                </c:pt>
                <c:pt idx="4">
                  <c:v>3.6875017676737838</c:v>
                </c:pt>
                <c:pt idx="5">
                  <c:v>4.3118782883268034</c:v>
                </c:pt>
                <c:pt idx="6">
                  <c:v>4.6289556469342736</c:v>
                </c:pt>
                <c:pt idx="7">
                  <c:v>4.807219919452038</c:v>
                </c:pt>
                <c:pt idx="8">
                  <c:v>4.6142988564964611</c:v>
                </c:pt>
                <c:pt idx="9">
                  <c:v>4.8500304940138932</c:v>
                </c:pt>
                <c:pt idx="10">
                  <c:v>4.6362287142103877</c:v>
                </c:pt>
                <c:pt idx="11">
                  <c:v>4.3255707174251823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5-4211-B5D3-F06BB12B9BD7}"/>
            </c:ext>
          </c:extLst>
        </c:ser>
        <c:ser>
          <c:idx val="1"/>
          <c:order val="1"/>
          <c:tx>
            <c:strRef>
              <c:f>'Biomass Data_FY1314'!$A$11</c:f>
              <c:strCache>
                <c:ptCount val="1"/>
                <c:pt idx="0">
                  <c:v>Mbtu $/Gas (Net)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'Biomass Data_FY1314'!$B$2:$M$2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'Biomass Data_FY1314'!$B$11:$L$11</c:f>
              <c:numCache>
                <c:formatCode>"$"#,##0.00</c:formatCode>
                <c:ptCount val="11"/>
                <c:pt idx="0">
                  <c:v>4.8037508826436941</c:v>
                </c:pt>
                <c:pt idx="1">
                  <c:v>6.8650601556970985</c:v>
                </c:pt>
                <c:pt idx="2">
                  <c:v>7.4717506947201269</c:v>
                </c:pt>
                <c:pt idx="3">
                  <c:v>5.7256570661711574</c:v>
                </c:pt>
                <c:pt idx="4">
                  <c:v>5.6189357901664003</c:v>
                </c:pt>
                <c:pt idx="5">
                  <c:v>5.6874412057943813</c:v>
                </c:pt>
                <c:pt idx="6">
                  <c:v>7.2099002964160599</c:v>
                </c:pt>
                <c:pt idx="7">
                  <c:v>13.722880778417872</c:v>
                </c:pt>
                <c:pt idx="8">
                  <c:v>16.498352688172044</c:v>
                </c:pt>
                <c:pt idx="9">
                  <c:v>6.2445687698592831</c:v>
                </c:pt>
                <c:pt idx="10">
                  <c:v>6.9089787694122267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5-4211-B5D3-F06BB12B9BD7}"/>
            </c:ext>
          </c:extLst>
        </c:ser>
        <c:ser>
          <c:idx val="3"/>
          <c:order val="2"/>
          <c:tx>
            <c:strRef>
              <c:f>'Biomass Data_FY1314'!$A$16</c:f>
              <c:strCache>
                <c:ptCount val="1"/>
                <c:pt idx="0">
                  <c:v>Mbtu $/Oil (Net)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'Biomass Data_FY1314'!$B$16:$M$16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15.018998196382524</c:v>
                </c:pt>
                <c:pt idx="5">
                  <c:v>0</c:v>
                </c:pt>
                <c:pt idx="6">
                  <c:v>14.994375703037122</c:v>
                </c:pt>
                <c:pt idx="7">
                  <c:v>14.492468256576048</c:v>
                </c:pt>
                <c:pt idx="8">
                  <c:v>19.384934460885958</c:v>
                </c:pt>
                <c:pt idx="9">
                  <c:v>21.614898793808564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5-4211-B5D3-F06BB12B9BD7}"/>
            </c:ext>
          </c:extLst>
        </c:ser>
        <c:ser>
          <c:idx val="2"/>
          <c:order val="3"/>
          <c:tx>
            <c:strRef>
              <c:f>'Biomass Data_FY1314'!$A$19</c:f>
              <c:strCache>
                <c:ptCount val="1"/>
                <c:pt idx="0">
                  <c:v>Total Mbtu $/Cost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'Biomass Data_FY1314'!$B$2:$M$2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'Biomass Data_FY1314'!$B$19:$M$19</c:f>
              <c:numCache>
                <c:formatCode>"$"#,##0.000</c:formatCode>
                <c:ptCount val="12"/>
                <c:pt idx="0">
                  <c:v>4.5419766031855753</c:v>
                </c:pt>
                <c:pt idx="1">
                  <c:v>4.4682890856847743</c:v>
                </c:pt>
                <c:pt idx="2">
                  <c:v>4.1872624045465612</c:v>
                </c:pt>
                <c:pt idx="3">
                  <c:v>4.4544527895173331</c:v>
                </c:pt>
                <c:pt idx="4">
                  <c:v>5.5321655805227357</c:v>
                </c:pt>
                <c:pt idx="5">
                  <c:v>4.7243461112055556</c:v>
                </c:pt>
                <c:pt idx="6">
                  <c:v>5.9854192803690891</c:v>
                </c:pt>
                <c:pt idx="7">
                  <c:v>10.407419597438674</c:v>
                </c:pt>
                <c:pt idx="8">
                  <c:v>11.245368129662623</c:v>
                </c:pt>
                <c:pt idx="9">
                  <c:v>5.6671566062904128</c:v>
                </c:pt>
                <c:pt idx="10">
                  <c:v>5.6228633208473751</c:v>
                </c:pt>
                <c:pt idx="11">
                  <c:v>4.4198694674457188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5-4211-B5D3-F06BB12B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55408"/>
        <c:axId val="281979864"/>
      </c:barChart>
      <c:catAx>
        <c:axId val="28015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979864"/>
        <c:crosses val="autoZero"/>
        <c:auto val="1"/>
        <c:lblAlgn val="ctr"/>
        <c:lblOffset val="100"/>
        <c:noMultiLvlLbl val="0"/>
      </c:catAx>
      <c:valAx>
        <c:axId val="28197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 / 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15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32209624692053"/>
          <c:y val="0.19017047858657124"/>
          <c:w val="0.30756281423901305"/>
          <c:h val="0.42098519284757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8</xdr:row>
      <xdr:rowOff>22859</xdr:rowOff>
    </xdr:from>
    <xdr:to>
      <xdr:col>28</xdr:col>
      <xdr:colOff>438150</xdr:colOff>
      <xdr:row>37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1</xdr:row>
      <xdr:rowOff>70484</xdr:rowOff>
    </xdr:from>
    <xdr:to>
      <xdr:col>27</xdr:col>
      <xdr:colOff>257175</xdr:colOff>
      <xdr:row>31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workbookViewId="0">
      <selection activeCell="B60" sqref="B60"/>
    </sheetView>
  </sheetViews>
  <sheetFormatPr defaultRowHeight="14.5" x14ac:dyDescent="0.35"/>
  <cols>
    <col min="1" max="1" width="67.453125" customWidth="1"/>
    <col min="2" max="2" width="23.90625" customWidth="1"/>
    <col min="3" max="3" width="8.1796875" customWidth="1"/>
    <col min="4" max="4" width="11.453125" customWidth="1"/>
    <col min="5" max="5" width="15" customWidth="1"/>
    <col min="7" max="7" width="10.1796875" customWidth="1"/>
  </cols>
  <sheetData>
    <row r="1" spans="1:5" ht="18.5" x14ac:dyDescent="0.45">
      <c r="A1" s="7" t="s">
        <v>9</v>
      </c>
      <c r="B1" s="3" t="s">
        <v>5</v>
      </c>
      <c r="C1" s="3" t="s">
        <v>6</v>
      </c>
      <c r="D1" s="3"/>
      <c r="E1" s="3" t="s">
        <v>3</v>
      </c>
    </row>
    <row r="2" spans="1:5" x14ac:dyDescent="0.35">
      <c r="B2" s="3"/>
      <c r="C2" s="3"/>
      <c r="D2" s="3"/>
      <c r="E2" s="3"/>
    </row>
    <row r="3" spans="1:5" x14ac:dyDescent="0.35">
      <c r="A3" t="s">
        <v>1</v>
      </c>
      <c r="B3" s="2">
        <v>36738876</v>
      </c>
      <c r="C3" s="4" t="s">
        <v>2</v>
      </c>
      <c r="D3" s="4"/>
      <c r="E3" s="17">
        <f>B3*0.003412</f>
        <v>125353.044912</v>
      </c>
    </row>
    <row r="4" spans="1:5" x14ac:dyDescent="0.35">
      <c r="A4" t="s">
        <v>0</v>
      </c>
      <c r="B4" s="2">
        <v>33557450</v>
      </c>
      <c r="C4" s="4" t="s">
        <v>2</v>
      </c>
      <c r="D4" s="4"/>
      <c r="E4" s="17">
        <f>B4*0.003412</f>
        <v>114498.0194</v>
      </c>
    </row>
    <row r="5" spans="1:5" x14ac:dyDescent="0.35">
      <c r="B5" s="5" t="s">
        <v>8</v>
      </c>
      <c r="C5" s="2"/>
      <c r="D5" s="2"/>
      <c r="E5" s="17"/>
    </row>
    <row r="6" spans="1:5" x14ac:dyDescent="0.35">
      <c r="A6" t="s">
        <v>10</v>
      </c>
      <c r="B6" s="2">
        <v>277743466</v>
      </c>
      <c r="C6" s="4" t="s">
        <v>7</v>
      </c>
      <c r="D6" s="4"/>
      <c r="E6" s="17">
        <f>B6*1194/1000000</f>
        <v>331625.69840400002</v>
      </c>
    </row>
    <row r="7" spans="1:5" x14ac:dyDescent="0.35">
      <c r="A7" t="s">
        <v>4</v>
      </c>
      <c r="B7" s="2">
        <v>267118000</v>
      </c>
      <c r="C7" s="4" t="s">
        <v>7</v>
      </c>
      <c r="D7" s="4"/>
      <c r="E7" s="17">
        <f>B7*1194/1000000</f>
        <v>318938.89199999999</v>
      </c>
    </row>
    <row r="8" spans="1:5" x14ac:dyDescent="0.35">
      <c r="A8" s="6" t="s">
        <v>17</v>
      </c>
      <c r="B8" s="2"/>
      <c r="C8" s="2"/>
      <c r="D8" s="2"/>
      <c r="E8" s="17"/>
    </row>
    <row r="9" spans="1:5" x14ac:dyDescent="0.35">
      <c r="B9" s="2"/>
      <c r="C9" s="2"/>
      <c r="D9" s="2"/>
      <c r="E9" s="17"/>
    </row>
    <row r="10" spans="1:5" x14ac:dyDescent="0.35">
      <c r="A10" t="s">
        <v>15</v>
      </c>
      <c r="B10" s="2">
        <v>363025</v>
      </c>
      <c r="C10" s="2" t="s">
        <v>20</v>
      </c>
      <c r="D10" s="17">
        <f>+B10</f>
        <v>363025</v>
      </c>
    </row>
    <row r="11" spans="1:5" x14ac:dyDescent="0.35">
      <c r="A11" t="s">
        <v>12</v>
      </c>
      <c r="B11" s="2">
        <v>313727</v>
      </c>
      <c r="C11" s="2" t="s">
        <v>20</v>
      </c>
      <c r="D11" s="17">
        <f>+B11</f>
        <v>313727</v>
      </c>
    </row>
    <row r="12" spans="1:5" x14ac:dyDescent="0.35">
      <c r="A12" s="6" t="s">
        <v>16</v>
      </c>
      <c r="B12" s="2"/>
      <c r="C12" s="2"/>
      <c r="D12" s="17"/>
    </row>
    <row r="13" spans="1:5" x14ac:dyDescent="0.35">
      <c r="A13" t="s">
        <v>15</v>
      </c>
      <c r="B13" s="2">
        <v>262863</v>
      </c>
      <c r="C13" s="2" t="s">
        <v>19</v>
      </c>
      <c r="D13" s="17">
        <f>B13*0.1</f>
        <v>26286.300000000003</v>
      </c>
    </row>
    <row r="14" spans="1:5" x14ac:dyDescent="0.35">
      <c r="A14" t="s">
        <v>12</v>
      </c>
      <c r="B14" s="9">
        <v>216858</v>
      </c>
      <c r="C14" s="9" t="s">
        <v>19</v>
      </c>
      <c r="D14" s="18">
        <f>B14*0.1</f>
        <v>21685.800000000003</v>
      </c>
      <c r="E14" s="22"/>
    </row>
    <row r="15" spans="1:5" x14ac:dyDescent="0.35">
      <c r="A15" s="6" t="s">
        <v>18</v>
      </c>
      <c r="B15" s="2"/>
      <c r="C15" s="2"/>
      <c r="D15" s="2"/>
      <c r="E15" s="17"/>
    </row>
    <row r="16" spans="1:5" x14ac:dyDescent="0.35">
      <c r="A16" s="21" t="s">
        <v>21</v>
      </c>
      <c r="B16" s="2"/>
      <c r="C16" s="2"/>
      <c r="D16" s="2"/>
      <c r="E16" s="17">
        <f>SUM(D10,D13)</f>
        <v>389311.3</v>
      </c>
    </row>
    <row r="17" spans="1:7" x14ac:dyDescent="0.35">
      <c r="A17" s="21" t="s">
        <v>22</v>
      </c>
      <c r="B17" s="2"/>
      <c r="C17" s="2"/>
      <c r="D17" s="2"/>
      <c r="E17" s="18">
        <f>SUM(D11,D14)</f>
        <v>335412.8</v>
      </c>
    </row>
    <row r="18" spans="1:7" x14ac:dyDescent="0.35">
      <c r="A18" s="21" t="s">
        <v>48</v>
      </c>
      <c r="B18" s="2"/>
      <c r="C18" s="2"/>
      <c r="D18" s="2"/>
      <c r="E18" s="17">
        <f>SUM(E3,E6,E16)</f>
        <v>846290.04331600002</v>
      </c>
    </row>
    <row r="19" spans="1:7" x14ac:dyDescent="0.35">
      <c r="A19" s="21" t="s">
        <v>49</v>
      </c>
      <c r="B19" s="2"/>
      <c r="C19" s="2"/>
      <c r="D19" s="2"/>
      <c r="E19" s="17">
        <f>SUM(E4,E7,E17)</f>
        <v>768849.71139999991</v>
      </c>
    </row>
    <row r="20" spans="1:7" x14ac:dyDescent="0.35">
      <c r="A20" s="8"/>
      <c r="B20" s="2"/>
      <c r="C20" s="2"/>
      <c r="D20" s="2"/>
      <c r="E20" s="2"/>
    </row>
    <row r="21" spans="1:7" x14ac:dyDescent="0.35">
      <c r="A21" t="s">
        <v>11</v>
      </c>
      <c r="B21" s="2">
        <v>1</v>
      </c>
      <c r="C21" s="2"/>
      <c r="D21" s="2"/>
      <c r="E21" s="2"/>
      <c r="G21" s="2"/>
    </row>
    <row r="22" spans="1:7" x14ac:dyDescent="0.35">
      <c r="B22" s="2"/>
      <c r="C22" s="2"/>
      <c r="D22" s="2"/>
      <c r="E22" s="2"/>
    </row>
    <row r="23" spans="1:7" x14ac:dyDescent="0.35">
      <c r="A23" t="s">
        <v>13</v>
      </c>
      <c r="B23" s="2"/>
      <c r="C23" s="2"/>
      <c r="D23" s="2"/>
      <c r="E23" s="2"/>
    </row>
    <row r="24" spans="1:7" x14ac:dyDescent="0.35">
      <c r="A24" s="10" t="s">
        <v>23</v>
      </c>
      <c r="B24" s="2">
        <v>8414</v>
      </c>
      <c r="C24" s="2"/>
      <c r="D24" s="2"/>
      <c r="E24" s="2"/>
    </row>
    <row r="25" spans="1:7" x14ac:dyDescent="0.35">
      <c r="A25" s="10" t="s">
        <v>24</v>
      </c>
      <c r="B25" s="9">
        <v>268</v>
      </c>
      <c r="C25" s="2"/>
      <c r="D25" s="2"/>
      <c r="E25" s="2"/>
    </row>
    <row r="26" spans="1:7" x14ac:dyDescent="0.35">
      <c r="B26" s="17">
        <f>SUM(B24:B25)</f>
        <v>8682</v>
      </c>
      <c r="C26" s="2"/>
      <c r="D26" s="2"/>
      <c r="E26" s="2"/>
    </row>
    <row r="27" spans="1:7" x14ac:dyDescent="0.35">
      <c r="A27" t="s">
        <v>14</v>
      </c>
      <c r="B27" s="2"/>
      <c r="C27" s="2"/>
      <c r="D27" s="2"/>
      <c r="E27" s="2"/>
    </row>
    <row r="28" spans="1:7" x14ac:dyDescent="0.35">
      <c r="A28" s="10" t="s">
        <v>23</v>
      </c>
      <c r="B28" s="2">
        <v>9032</v>
      </c>
      <c r="C28" s="2"/>
      <c r="D28" s="2"/>
      <c r="E28" s="2"/>
    </row>
    <row r="29" spans="1:7" x14ac:dyDescent="0.35">
      <c r="A29" s="10" t="s">
        <v>24</v>
      </c>
      <c r="B29" s="2">
        <v>274</v>
      </c>
      <c r="C29" s="2"/>
      <c r="D29" s="2"/>
      <c r="E29" s="2"/>
    </row>
    <row r="30" spans="1:7" x14ac:dyDescent="0.35">
      <c r="B30" s="23">
        <f>SUM(B28:B29)</f>
        <v>9306</v>
      </c>
      <c r="C30" s="2"/>
      <c r="D30" s="2"/>
      <c r="E30" s="2"/>
    </row>
    <row r="31" spans="1:7" x14ac:dyDescent="0.35">
      <c r="B31" s="2"/>
      <c r="C31" s="2"/>
      <c r="D31" s="2"/>
      <c r="E31" s="2"/>
    </row>
    <row r="32" spans="1:7" x14ac:dyDescent="0.35">
      <c r="B32" s="2"/>
      <c r="C32" s="2"/>
      <c r="D32" s="2"/>
      <c r="E32" s="2"/>
    </row>
    <row r="33" spans="1:5" x14ac:dyDescent="0.35">
      <c r="A33" s="13" t="s">
        <v>31</v>
      </c>
      <c r="B33" s="2"/>
      <c r="C33" s="2"/>
      <c r="D33" s="2"/>
      <c r="E33" s="2"/>
    </row>
    <row r="34" spans="1:5" x14ac:dyDescent="0.35">
      <c r="A34" s="15" t="s">
        <v>35</v>
      </c>
      <c r="B34" s="16" t="s">
        <v>26</v>
      </c>
      <c r="C34" s="4" t="s">
        <v>32</v>
      </c>
      <c r="D34" s="4"/>
      <c r="E34" s="17">
        <f>(B35*B36)+B37+(B38*B39)+B40</f>
        <v>1180870.69910848</v>
      </c>
    </row>
    <row r="35" spans="1:5" x14ac:dyDescent="0.35">
      <c r="A35" s="10" t="s">
        <v>25</v>
      </c>
      <c r="B35" s="2">
        <f>+E3</f>
        <v>125353.044912</v>
      </c>
      <c r="C35" s="2"/>
      <c r="D35" s="2"/>
      <c r="E35" s="17"/>
    </row>
    <row r="36" spans="1:5" x14ac:dyDescent="0.35">
      <c r="A36" s="10" t="s">
        <v>27</v>
      </c>
      <c r="B36" s="12">
        <v>3.14</v>
      </c>
      <c r="C36" s="11"/>
      <c r="D36" s="11"/>
      <c r="E36" s="17"/>
    </row>
    <row r="37" spans="1:5" x14ac:dyDescent="0.35">
      <c r="A37" s="10" t="s">
        <v>28</v>
      </c>
      <c r="B37" s="2">
        <v>0</v>
      </c>
      <c r="C37" s="2"/>
      <c r="D37" s="2"/>
      <c r="E37" s="17"/>
    </row>
    <row r="38" spans="1:5" x14ac:dyDescent="0.35">
      <c r="A38" s="10" t="s">
        <v>29</v>
      </c>
      <c r="B38" s="2">
        <f>+E6</f>
        <v>331625.69840400002</v>
      </c>
      <c r="C38" s="2"/>
      <c r="D38" s="2"/>
      <c r="E38" s="17"/>
    </row>
    <row r="39" spans="1:5" x14ac:dyDescent="0.35">
      <c r="A39" s="10" t="s">
        <v>30</v>
      </c>
      <c r="B39" s="12">
        <v>1.2</v>
      </c>
      <c r="C39" s="2"/>
      <c r="D39" s="2"/>
      <c r="E39" s="17"/>
    </row>
    <row r="40" spans="1:5" x14ac:dyDescent="0.35">
      <c r="A40" s="10" t="s">
        <v>33</v>
      </c>
      <c r="B40" s="2">
        <f>+E16</f>
        <v>389311.3</v>
      </c>
      <c r="E40" s="17"/>
    </row>
    <row r="41" spans="1:5" x14ac:dyDescent="0.35">
      <c r="E41" s="17"/>
    </row>
    <row r="42" spans="1:5" x14ac:dyDescent="0.35">
      <c r="A42" s="14" t="s">
        <v>34</v>
      </c>
      <c r="B42" s="16" t="s">
        <v>26</v>
      </c>
      <c r="C42" s="4" t="s">
        <v>32</v>
      </c>
      <c r="D42" s="4"/>
      <c r="E42" s="17">
        <f>(B43*B44)+B45+(B46*B47)+B48</f>
        <v>1077663.251316</v>
      </c>
    </row>
    <row r="43" spans="1:5" x14ac:dyDescent="0.35">
      <c r="A43" s="10" t="s">
        <v>25</v>
      </c>
      <c r="B43" s="2">
        <f>+E4</f>
        <v>114498.0194</v>
      </c>
      <c r="E43" s="17"/>
    </row>
    <row r="44" spans="1:5" x14ac:dyDescent="0.35">
      <c r="A44" s="10" t="s">
        <v>27</v>
      </c>
      <c r="B44" s="521">
        <v>3.14</v>
      </c>
      <c r="C44" s="11"/>
      <c r="D44" s="11"/>
      <c r="E44" s="17"/>
    </row>
    <row r="45" spans="1:5" x14ac:dyDescent="0.35">
      <c r="A45" s="10" t="s">
        <v>28</v>
      </c>
      <c r="B45">
        <v>0</v>
      </c>
      <c r="E45" s="17"/>
    </row>
    <row r="46" spans="1:5" x14ac:dyDescent="0.35">
      <c r="A46" s="10" t="s">
        <v>29</v>
      </c>
      <c r="B46" s="2">
        <f>+E7</f>
        <v>318938.89199999999</v>
      </c>
      <c r="E46" s="17"/>
    </row>
    <row r="47" spans="1:5" x14ac:dyDescent="0.35">
      <c r="A47" s="10" t="s">
        <v>30</v>
      </c>
      <c r="B47">
        <v>1.2</v>
      </c>
      <c r="E47" s="17"/>
    </row>
    <row r="48" spans="1:5" x14ac:dyDescent="0.35">
      <c r="A48" s="10" t="s">
        <v>33</v>
      </c>
      <c r="B48" s="2">
        <f>+E17</f>
        <v>335412.8</v>
      </c>
      <c r="E48" s="17"/>
    </row>
    <row r="49" spans="1:5" x14ac:dyDescent="0.35">
      <c r="E49" s="20"/>
    </row>
    <row r="50" spans="1:5" x14ac:dyDescent="0.35">
      <c r="E50" s="20"/>
    </row>
    <row r="51" spans="1:5" x14ac:dyDescent="0.35">
      <c r="A51" s="15" t="s">
        <v>42</v>
      </c>
      <c r="B51" s="1" t="s">
        <v>36</v>
      </c>
      <c r="C51" s="1" t="s">
        <v>32</v>
      </c>
      <c r="D51" s="1"/>
      <c r="E51" s="20">
        <f>6*(((B52/B53)-(B54/B55))/(B52/B53))</f>
        <v>0.36160109543962565</v>
      </c>
    </row>
    <row r="52" spans="1:5" x14ac:dyDescent="0.35">
      <c r="A52" s="10" t="s">
        <v>37</v>
      </c>
      <c r="B52" s="2">
        <f>+E34</f>
        <v>1180870.69910848</v>
      </c>
      <c r="E52" s="20"/>
    </row>
    <row r="53" spans="1:5" x14ac:dyDescent="0.35">
      <c r="A53" s="10" t="s">
        <v>38</v>
      </c>
      <c r="B53" s="2">
        <v>3483468</v>
      </c>
      <c r="E53" s="20"/>
    </row>
    <row r="54" spans="1:5" x14ac:dyDescent="0.35">
      <c r="A54" s="10" t="s">
        <v>39</v>
      </c>
      <c r="B54" s="2">
        <f>+E42</f>
        <v>1077663.251316</v>
      </c>
      <c r="E54" s="20"/>
    </row>
    <row r="55" spans="1:5" x14ac:dyDescent="0.35">
      <c r="A55" s="10" t="s">
        <v>40</v>
      </c>
      <c r="B55" s="2">
        <v>3382891</v>
      </c>
      <c r="E55" s="20"/>
    </row>
    <row r="56" spans="1:5" x14ac:dyDescent="0.35">
      <c r="E56" s="20"/>
    </row>
    <row r="57" spans="1:5" x14ac:dyDescent="0.35">
      <c r="A57" s="15" t="s">
        <v>41</v>
      </c>
      <c r="B57" s="1" t="s">
        <v>46</v>
      </c>
      <c r="C57" s="1" t="s">
        <v>32</v>
      </c>
      <c r="D57" s="1"/>
      <c r="E57" s="20">
        <f>3.5*((B58)-((B59/B60)/B61))/B58</f>
        <v>3.5</v>
      </c>
    </row>
    <row r="58" spans="1:5" x14ac:dyDescent="0.35">
      <c r="A58" s="10" t="s">
        <v>47</v>
      </c>
      <c r="B58" s="19">
        <f>(B40/B48)/B26</f>
        <v>1.3368959140584179E-4</v>
      </c>
      <c r="E58" s="20"/>
    </row>
    <row r="59" spans="1:5" x14ac:dyDescent="0.35">
      <c r="A59" s="10" t="s">
        <v>43</v>
      </c>
      <c r="B59" s="2">
        <v>0</v>
      </c>
      <c r="E59" s="20"/>
    </row>
    <row r="60" spans="1:5" x14ac:dyDescent="0.35">
      <c r="A60" s="10" t="s">
        <v>44</v>
      </c>
      <c r="B60" s="2">
        <v>132438</v>
      </c>
      <c r="E60" s="20"/>
    </row>
    <row r="61" spans="1:5" x14ac:dyDescent="0.35">
      <c r="A61" s="10" t="s">
        <v>45</v>
      </c>
      <c r="B61" s="2">
        <f>+B26</f>
        <v>8682</v>
      </c>
      <c r="E61" s="20"/>
    </row>
    <row r="64" spans="1:5" ht="18.5" x14ac:dyDescent="0.45">
      <c r="A64" s="523" t="s">
        <v>383</v>
      </c>
      <c r="E64" s="522">
        <f>SUM(E51,E57)</f>
        <v>3.8616010954396258</v>
      </c>
    </row>
  </sheetData>
  <pageMargins left="0.7" right="0.7" top="0.75" bottom="0.75" header="0.3" footer="0.3"/>
  <pageSetup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E23" sqref="E23"/>
    </sheetView>
  </sheetViews>
  <sheetFormatPr defaultRowHeight="14.5" x14ac:dyDescent="0.35"/>
  <cols>
    <col min="1" max="1" width="3.54296875" customWidth="1"/>
    <col min="2" max="2" width="43.6328125" customWidth="1"/>
    <col min="3" max="3" width="2.1796875" customWidth="1"/>
    <col min="4" max="4" width="14" customWidth="1"/>
    <col min="5" max="5" width="14.08984375" customWidth="1"/>
  </cols>
  <sheetData>
    <row r="1" spans="1:12" ht="18.5" x14ac:dyDescent="0.45">
      <c r="A1" s="7" t="s">
        <v>384</v>
      </c>
    </row>
    <row r="2" spans="1:12" x14ac:dyDescent="0.35">
      <c r="A2" s="524" t="s">
        <v>386</v>
      </c>
      <c r="B2" s="524"/>
      <c r="E2" s="3" t="s">
        <v>395</v>
      </c>
    </row>
    <row r="3" spans="1:12" x14ac:dyDescent="0.35">
      <c r="A3" t="s">
        <v>385</v>
      </c>
      <c r="B3" t="s">
        <v>393</v>
      </c>
      <c r="D3" s="2">
        <v>33911679</v>
      </c>
      <c r="E3" s="2">
        <f>D3*0.003412</f>
        <v>115706.64874800001</v>
      </c>
      <c r="H3" s="13" t="s">
        <v>394</v>
      </c>
      <c r="J3" s="3" t="s">
        <v>390</v>
      </c>
      <c r="K3" s="3" t="s">
        <v>391</v>
      </c>
    </row>
    <row r="4" spans="1:12" x14ac:dyDescent="0.35">
      <c r="A4" t="s">
        <v>387</v>
      </c>
      <c r="B4" t="s">
        <v>392</v>
      </c>
      <c r="D4" s="2">
        <v>478098</v>
      </c>
      <c r="E4" s="2">
        <f>+D4</f>
        <v>478098</v>
      </c>
      <c r="H4" t="s">
        <v>388</v>
      </c>
      <c r="J4" s="2">
        <v>278036</v>
      </c>
      <c r="K4" s="2">
        <f>J4/10</f>
        <v>27803.599999999999</v>
      </c>
    </row>
    <row r="5" spans="1:12" x14ac:dyDescent="0.35">
      <c r="B5" t="s">
        <v>396</v>
      </c>
      <c r="D5" s="2">
        <v>53723120</v>
      </c>
      <c r="E5" s="2">
        <v>325868</v>
      </c>
      <c r="H5" t="s">
        <v>389</v>
      </c>
      <c r="J5" s="2"/>
      <c r="K5" s="2">
        <v>450294</v>
      </c>
    </row>
    <row r="6" spans="1:12" x14ac:dyDescent="0.35">
      <c r="B6" s="10" t="s">
        <v>397</v>
      </c>
      <c r="E6" s="525">
        <f>SUM(E3:E5)</f>
        <v>919672.64874800004</v>
      </c>
      <c r="J6" s="2"/>
      <c r="K6" s="525">
        <f>SUM(K4:K5)</f>
        <v>478097.6</v>
      </c>
    </row>
    <row r="7" spans="1:12" x14ac:dyDescent="0.35">
      <c r="E7" s="2"/>
    </row>
    <row r="8" spans="1:12" x14ac:dyDescent="0.35">
      <c r="B8" t="s">
        <v>398</v>
      </c>
      <c r="D8" s="2">
        <v>954560</v>
      </c>
      <c r="E8" s="2">
        <f>D8*0.003412</f>
        <v>3256.9587200000001</v>
      </c>
      <c r="J8" s="2"/>
      <c r="K8" s="2"/>
    </row>
    <row r="9" spans="1:12" x14ac:dyDescent="0.35">
      <c r="B9" t="s">
        <v>399</v>
      </c>
      <c r="D9" s="2">
        <v>295582000</v>
      </c>
      <c r="E9" s="2">
        <f>D9/1000</f>
        <v>295582</v>
      </c>
      <c r="J9" s="2"/>
      <c r="K9" s="2"/>
    </row>
    <row r="10" spans="1:12" x14ac:dyDescent="0.35">
      <c r="E10" s="525">
        <f>SUM(E8:E9)</f>
        <v>298838.95872</v>
      </c>
      <c r="J10" s="2"/>
      <c r="K10" s="2"/>
    </row>
    <row r="11" spans="1:12" ht="15.5" x14ac:dyDescent="0.35">
      <c r="E11" s="2"/>
      <c r="J11" s="2"/>
      <c r="K11" s="2"/>
      <c r="L11" s="530" t="s">
        <v>407</v>
      </c>
    </row>
    <row r="12" spans="1:12" ht="15.5" x14ac:dyDescent="0.35">
      <c r="D12" s="3" t="s">
        <v>400</v>
      </c>
      <c r="E12" s="527"/>
      <c r="F12" s="3" t="s">
        <v>402</v>
      </c>
      <c r="H12" s="3"/>
      <c r="J12" s="3" t="s">
        <v>406</v>
      </c>
      <c r="L12" s="530" t="s">
        <v>408</v>
      </c>
    </row>
    <row r="13" spans="1:12" ht="15.5" x14ac:dyDescent="0.35">
      <c r="B13" s="10" t="s">
        <v>404</v>
      </c>
      <c r="D13">
        <v>4</v>
      </c>
      <c r="E13" s="526" t="s">
        <v>401</v>
      </c>
      <c r="F13" s="2">
        <f>+E8</f>
        <v>3256.9587200000001</v>
      </c>
      <c r="G13" s="528" t="s">
        <v>32</v>
      </c>
      <c r="H13" s="2">
        <f>F13*4</f>
        <v>13027.83488</v>
      </c>
      <c r="I13" s="529" t="s">
        <v>405</v>
      </c>
      <c r="J13" s="2">
        <f>+E6</f>
        <v>919672.64874800004</v>
      </c>
      <c r="K13" s="528" t="s">
        <v>32</v>
      </c>
      <c r="L13" s="531">
        <f>H13/J13</f>
        <v>1.4165730488707579E-2</v>
      </c>
    </row>
    <row r="14" spans="1:12" ht="15.5" x14ac:dyDescent="0.35">
      <c r="B14" t="s">
        <v>403</v>
      </c>
      <c r="D14">
        <v>4</v>
      </c>
      <c r="E14" s="526" t="s">
        <v>401</v>
      </c>
      <c r="F14" s="2">
        <f>+E9</f>
        <v>295582</v>
      </c>
      <c r="G14" s="528" t="s">
        <v>32</v>
      </c>
      <c r="H14" s="2">
        <f>F14*4</f>
        <v>1182328</v>
      </c>
      <c r="I14" s="529" t="s">
        <v>405</v>
      </c>
      <c r="J14" s="2">
        <f>+E6</f>
        <v>919672.64874800004</v>
      </c>
      <c r="K14" s="528" t="s">
        <v>32</v>
      </c>
      <c r="L14" s="531">
        <f>H14/J14</f>
        <v>1.2855965670062786</v>
      </c>
    </row>
    <row r="15" spans="1:12" ht="15.5" x14ac:dyDescent="0.35">
      <c r="E15" s="2"/>
      <c r="K15" s="533" t="s">
        <v>409</v>
      </c>
      <c r="L15" s="532">
        <f>SUM(L13:L14)</f>
        <v>1.2997622974949861</v>
      </c>
    </row>
    <row r="16" spans="1:12" x14ac:dyDescent="0.35">
      <c r="E16" s="2"/>
    </row>
    <row r="17" spans="5:5" x14ac:dyDescent="0.35">
      <c r="E17" s="2"/>
    </row>
  </sheetData>
  <pageMargins left="0.7" right="0.7" top="0.75" bottom="0.75" header="0.3" footer="0.3"/>
  <pageSetup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61"/>
  <sheetViews>
    <sheetView topLeftCell="A28" workbookViewId="0"/>
  </sheetViews>
  <sheetFormatPr defaultColWidth="8.90625" defaultRowHeight="12.5" x14ac:dyDescent="0.25"/>
  <cols>
    <col min="1" max="1" width="2.81640625" style="467" customWidth="1"/>
    <col min="2" max="2" width="16.81640625" style="467" customWidth="1"/>
    <col min="3" max="3" width="16.453125" style="467" customWidth="1"/>
    <col min="4" max="4" width="13.1796875" style="467" customWidth="1"/>
    <col min="5" max="5" width="19.81640625" style="467" customWidth="1"/>
    <col min="6" max="6" width="19.54296875" style="467" customWidth="1"/>
    <col min="7" max="7" width="19.1796875" style="467" customWidth="1"/>
    <col min="8" max="16384" width="8.90625" style="467"/>
  </cols>
  <sheetData>
    <row r="3" spans="1:7" ht="13" x14ac:dyDescent="0.3">
      <c r="B3" s="468" t="s">
        <v>339</v>
      </c>
      <c r="C3" s="469"/>
      <c r="D3" s="469"/>
      <c r="E3" s="469"/>
      <c r="F3" s="469"/>
    </row>
    <row r="4" spans="1:7" ht="14.25" customHeight="1" x14ac:dyDescent="0.5">
      <c r="C4" s="470" t="s">
        <v>340</v>
      </c>
      <c r="D4" s="470"/>
      <c r="E4" s="470"/>
      <c r="F4" s="470"/>
      <c r="G4" s="471"/>
    </row>
    <row r="5" spans="1:7" ht="57.75" customHeight="1" x14ac:dyDescent="0.5">
      <c r="A5" s="471"/>
      <c r="B5" s="472"/>
      <c r="C5" s="473" t="s">
        <v>341</v>
      </c>
      <c r="D5" s="473" t="s">
        <v>342</v>
      </c>
      <c r="E5" s="473" t="s">
        <v>343</v>
      </c>
      <c r="F5" s="474" t="s">
        <v>344</v>
      </c>
      <c r="G5" s="475" t="s">
        <v>57</v>
      </c>
    </row>
    <row r="6" spans="1:7" ht="15.75" customHeight="1" x14ac:dyDescent="0.5">
      <c r="A6" s="471"/>
      <c r="B6" s="476" t="s">
        <v>345</v>
      </c>
      <c r="C6" s="477">
        <v>3517734</v>
      </c>
      <c r="D6" s="477">
        <v>991989</v>
      </c>
      <c r="E6" s="477">
        <v>132873</v>
      </c>
      <c r="F6" s="477">
        <v>1414604</v>
      </c>
      <c r="G6" s="477">
        <f t="shared" ref="G6:G18" si="0">SUM(C6:F6)</f>
        <v>6057200</v>
      </c>
    </row>
    <row r="7" spans="1:7" ht="15.75" customHeight="1" x14ac:dyDescent="0.5">
      <c r="A7" s="471"/>
      <c r="B7" s="478" t="s">
        <v>346</v>
      </c>
      <c r="C7" s="479">
        <v>3230903</v>
      </c>
      <c r="D7" s="479">
        <v>966274</v>
      </c>
      <c r="E7" s="479">
        <v>199118</v>
      </c>
      <c r="F7" s="479">
        <v>2004080</v>
      </c>
      <c r="G7" s="479">
        <f t="shared" si="0"/>
        <v>6400375</v>
      </c>
    </row>
    <row r="8" spans="1:7" ht="15.75" customHeight="1" x14ac:dyDescent="0.35">
      <c r="B8" s="478" t="s">
        <v>347</v>
      </c>
      <c r="C8" s="479">
        <v>3095520</v>
      </c>
      <c r="D8" s="479">
        <v>1029730</v>
      </c>
      <c r="E8" s="479">
        <v>206618</v>
      </c>
      <c r="F8" s="479">
        <v>2887796.85</v>
      </c>
      <c r="G8" s="479">
        <f t="shared" si="0"/>
        <v>7219664.8499999996</v>
      </c>
    </row>
    <row r="9" spans="1:7" ht="15.5" x14ac:dyDescent="0.35">
      <c r="B9" s="478" t="s">
        <v>348</v>
      </c>
      <c r="C9" s="479">
        <v>2977988</v>
      </c>
      <c r="D9" s="479">
        <v>918335.91</v>
      </c>
      <c r="E9" s="479">
        <v>164953</v>
      </c>
      <c r="F9" s="479">
        <v>2075862.2</v>
      </c>
      <c r="G9" s="479">
        <f t="shared" si="0"/>
        <v>6137139.1100000003</v>
      </c>
    </row>
    <row r="10" spans="1:7" ht="15.5" x14ac:dyDescent="0.35">
      <c r="B10" s="478" t="s">
        <v>349</v>
      </c>
      <c r="C10" s="480">
        <v>2983324.22</v>
      </c>
      <c r="D10" s="481">
        <v>979842</v>
      </c>
      <c r="E10" s="480">
        <v>175455</v>
      </c>
      <c r="F10" s="479">
        <v>2064310.21</v>
      </c>
      <c r="G10" s="480">
        <f t="shared" si="0"/>
        <v>6202931.4299999997</v>
      </c>
    </row>
    <row r="11" spans="1:7" ht="15.5" x14ac:dyDescent="0.35">
      <c r="B11" s="482" t="s">
        <v>350</v>
      </c>
      <c r="C11" s="483">
        <v>2772646</v>
      </c>
      <c r="D11" s="483">
        <v>851383</v>
      </c>
      <c r="E11" s="483">
        <v>241566.78</v>
      </c>
      <c r="F11" s="483">
        <v>2624222.52</v>
      </c>
      <c r="G11" s="483">
        <f t="shared" si="0"/>
        <v>6489818.2999999998</v>
      </c>
    </row>
    <row r="12" spans="1:7" ht="15.5" x14ac:dyDescent="0.35">
      <c r="B12" s="472" t="s">
        <v>351</v>
      </c>
      <c r="C12" s="484">
        <v>2841618</v>
      </c>
      <c r="D12" s="484">
        <v>733148</v>
      </c>
      <c r="E12" s="484">
        <v>182673</v>
      </c>
      <c r="F12" s="484">
        <v>2970007</v>
      </c>
      <c r="G12" s="485">
        <f t="shared" si="0"/>
        <v>6727446</v>
      </c>
    </row>
    <row r="13" spans="1:7" ht="15.5" x14ac:dyDescent="0.35">
      <c r="B13" s="472" t="s">
        <v>352</v>
      </c>
      <c r="C13" s="484">
        <v>2865966.63</v>
      </c>
      <c r="D13" s="484">
        <v>634328.79</v>
      </c>
      <c r="E13" s="484">
        <v>294534.89</v>
      </c>
      <c r="F13" s="484">
        <v>4350016.13</v>
      </c>
      <c r="G13" s="485">
        <f t="shared" si="0"/>
        <v>8144846.4399999995</v>
      </c>
    </row>
    <row r="14" spans="1:7" ht="15.5" x14ac:dyDescent="0.35">
      <c r="B14" s="472" t="s">
        <v>353</v>
      </c>
      <c r="C14" s="484">
        <v>2847288</v>
      </c>
      <c r="D14" s="486">
        <v>667460</v>
      </c>
      <c r="E14" s="484">
        <v>280898</v>
      </c>
      <c r="F14" s="484">
        <v>3477184</v>
      </c>
      <c r="G14" s="485">
        <f t="shared" si="0"/>
        <v>7272830</v>
      </c>
    </row>
    <row r="15" spans="1:7" ht="15.5" x14ac:dyDescent="0.35">
      <c r="B15" s="472" t="s">
        <v>354</v>
      </c>
      <c r="C15" s="484">
        <v>2428026</v>
      </c>
      <c r="D15" s="484">
        <v>663065</v>
      </c>
      <c r="E15" s="484">
        <v>263617</v>
      </c>
      <c r="F15" s="484">
        <v>3124912</v>
      </c>
      <c r="G15" s="485">
        <f t="shared" si="0"/>
        <v>6479620</v>
      </c>
    </row>
    <row r="16" spans="1:7" ht="15.5" x14ac:dyDescent="0.35">
      <c r="B16" s="472" t="s">
        <v>355</v>
      </c>
      <c r="C16" s="484">
        <v>2391782</v>
      </c>
      <c r="D16" s="484">
        <v>671570</v>
      </c>
      <c r="E16" s="484">
        <v>237156</v>
      </c>
      <c r="F16" s="484">
        <v>4054140</v>
      </c>
      <c r="G16" s="485">
        <f t="shared" si="0"/>
        <v>7354648</v>
      </c>
    </row>
    <row r="17" spans="2:12" ht="15.5" x14ac:dyDescent="0.35">
      <c r="B17" s="472" t="s">
        <v>356</v>
      </c>
      <c r="C17" s="484">
        <v>2316971</v>
      </c>
      <c r="D17" s="484">
        <v>594732</v>
      </c>
      <c r="E17" s="484">
        <v>195727</v>
      </c>
      <c r="F17" s="484">
        <v>3119328</v>
      </c>
      <c r="G17" s="485">
        <f t="shared" si="0"/>
        <v>6226758</v>
      </c>
    </row>
    <row r="18" spans="2:12" ht="15.5" x14ac:dyDescent="0.35">
      <c r="B18" s="472" t="s">
        <v>357</v>
      </c>
      <c r="C18" s="487">
        <v>2054311</v>
      </c>
      <c r="D18" s="487">
        <v>624799</v>
      </c>
      <c r="E18" s="487">
        <v>184348</v>
      </c>
      <c r="F18" s="487">
        <v>1868037</v>
      </c>
      <c r="G18" s="488">
        <f t="shared" si="0"/>
        <v>4731495</v>
      </c>
    </row>
    <row r="19" spans="2:12" ht="15.5" x14ac:dyDescent="0.35">
      <c r="B19" s="489" t="s">
        <v>282</v>
      </c>
      <c r="C19" s="484">
        <f>SUM(C6:C18)</f>
        <v>36324077.849999994</v>
      </c>
      <c r="D19" s="484">
        <f t="shared" ref="D19:F19" si="1">SUM(D6:D18)</f>
        <v>10326656.699999999</v>
      </c>
      <c r="E19" s="484">
        <f t="shared" si="1"/>
        <v>2759537.67</v>
      </c>
      <c r="F19" s="484">
        <f t="shared" si="1"/>
        <v>36034499.909999996</v>
      </c>
      <c r="G19" s="484">
        <f>SUM(G6:G18)</f>
        <v>85444772.129999995</v>
      </c>
    </row>
    <row r="20" spans="2:12" ht="15.5" x14ac:dyDescent="0.35">
      <c r="B20" s="489" t="s">
        <v>358</v>
      </c>
      <c r="C20" s="490">
        <f>C19/13</f>
        <v>2794159.8346153842</v>
      </c>
      <c r="D20" s="490">
        <f>D19/13</f>
        <v>794358.20769230765</v>
      </c>
      <c r="E20" s="490">
        <f>E19/13</f>
        <v>212272.12846153846</v>
      </c>
      <c r="F20" s="490">
        <f>F19/13</f>
        <v>2771884.6084615383</v>
      </c>
      <c r="G20" s="491">
        <f>SUM(C20:F20)</f>
        <v>6572674.7792307679</v>
      </c>
    </row>
    <row r="21" spans="2:12" x14ac:dyDescent="0.25">
      <c r="C21" s="469"/>
      <c r="D21" s="469"/>
      <c r="E21" s="469"/>
      <c r="F21" s="469"/>
      <c r="G21" s="492"/>
    </row>
    <row r="22" spans="2:12" x14ac:dyDescent="0.25">
      <c r="C22" s="469"/>
      <c r="D22" s="469"/>
      <c r="E22" s="469"/>
      <c r="F22" s="469"/>
    </row>
    <row r="23" spans="2:12" ht="15.5" x14ac:dyDescent="0.35">
      <c r="B23" s="472"/>
      <c r="C23" s="493" t="s">
        <v>359</v>
      </c>
      <c r="D23" s="494"/>
      <c r="E23" s="493"/>
      <c r="F23" s="494"/>
    </row>
    <row r="24" spans="2:12" ht="15.5" x14ac:dyDescent="0.35">
      <c r="B24" s="472"/>
      <c r="C24" s="495" t="s">
        <v>360</v>
      </c>
      <c r="D24" s="495" t="s">
        <v>361</v>
      </c>
      <c r="E24" s="496" t="s">
        <v>362</v>
      </c>
      <c r="F24" s="496" t="s">
        <v>363</v>
      </c>
      <c r="H24" s="469" t="s">
        <v>364</v>
      </c>
    </row>
    <row r="25" spans="2:12" ht="15.5" x14ac:dyDescent="0.35">
      <c r="B25" s="476" t="s">
        <v>345</v>
      </c>
      <c r="C25" s="516">
        <v>33557450</v>
      </c>
      <c r="D25" s="516">
        <v>87441</v>
      </c>
      <c r="E25" s="517">
        <v>216858</v>
      </c>
      <c r="F25" s="517">
        <v>313727</v>
      </c>
      <c r="H25" s="469" t="s">
        <v>365</v>
      </c>
    </row>
    <row r="26" spans="2:12" ht="15.5" x14ac:dyDescent="0.35">
      <c r="B26" s="478" t="s">
        <v>346</v>
      </c>
      <c r="C26" s="497">
        <v>29170529</v>
      </c>
      <c r="D26" s="498">
        <v>77673</v>
      </c>
      <c r="E26" s="499">
        <v>245185</v>
      </c>
      <c r="F26" s="499">
        <v>399094</v>
      </c>
      <c r="H26" s="469" t="s">
        <v>366</v>
      </c>
    </row>
    <row r="27" spans="2:12" ht="15.5" x14ac:dyDescent="0.35">
      <c r="B27" s="478" t="s">
        <v>347</v>
      </c>
      <c r="C27" s="499">
        <v>29753476</v>
      </c>
      <c r="D27" s="499">
        <v>78599</v>
      </c>
      <c r="E27" s="499">
        <v>278036</v>
      </c>
      <c r="F27" s="499">
        <v>450294</v>
      </c>
      <c r="G27" s="500"/>
      <c r="H27" s="469" t="s">
        <v>367</v>
      </c>
    </row>
    <row r="28" spans="2:12" ht="15.5" x14ac:dyDescent="0.35">
      <c r="B28" s="478" t="s">
        <v>348</v>
      </c>
      <c r="C28" s="499">
        <v>33439569</v>
      </c>
      <c r="D28" s="501">
        <v>94618</v>
      </c>
      <c r="E28" s="499">
        <v>241593</v>
      </c>
      <c r="F28" s="499">
        <v>321664</v>
      </c>
      <c r="G28" s="500"/>
      <c r="H28" s="469" t="s">
        <v>368</v>
      </c>
    </row>
    <row r="29" spans="2:12" ht="15.5" x14ac:dyDescent="0.35">
      <c r="B29" s="478" t="s">
        <v>349</v>
      </c>
      <c r="C29" s="518">
        <v>35555154</v>
      </c>
      <c r="D29" s="518">
        <v>106066</v>
      </c>
      <c r="E29" s="518">
        <v>233722</v>
      </c>
      <c r="F29" s="518">
        <v>320992</v>
      </c>
      <c r="H29" s="469" t="s">
        <v>369</v>
      </c>
    </row>
    <row r="30" spans="2:12" ht="15.5" x14ac:dyDescent="0.35">
      <c r="B30" s="482" t="s">
        <v>350</v>
      </c>
      <c r="C30" s="502">
        <v>33587341</v>
      </c>
      <c r="D30" s="502">
        <v>98338</v>
      </c>
      <c r="E30" s="502">
        <v>262863</v>
      </c>
      <c r="F30" s="502">
        <v>363025</v>
      </c>
      <c r="H30" s="514" t="s">
        <v>382</v>
      </c>
      <c r="I30" s="515"/>
      <c r="J30" s="515"/>
      <c r="K30" s="515"/>
      <c r="L30" s="515"/>
    </row>
    <row r="31" spans="2:12" ht="15.5" x14ac:dyDescent="0.35">
      <c r="B31" s="472" t="s">
        <v>351</v>
      </c>
      <c r="C31" s="503">
        <v>37938940</v>
      </c>
      <c r="D31" s="503">
        <v>106518</v>
      </c>
      <c r="E31" s="504">
        <v>226023</v>
      </c>
      <c r="F31" s="503">
        <v>359098</v>
      </c>
      <c r="H31" s="469" t="s">
        <v>370</v>
      </c>
    </row>
    <row r="32" spans="2:12" ht="15.5" x14ac:dyDescent="0.35">
      <c r="B32" s="472" t="s">
        <v>352</v>
      </c>
      <c r="C32" s="503">
        <v>40059655</v>
      </c>
      <c r="D32" s="503">
        <v>106793</v>
      </c>
      <c r="E32" s="503">
        <v>262698</v>
      </c>
      <c r="F32" s="503">
        <v>388777</v>
      </c>
      <c r="H32" s="469" t="s">
        <v>371</v>
      </c>
    </row>
    <row r="33" spans="2:8" ht="15.5" x14ac:dyDescent="0.35">
      <c r="B33" s="472" t="s">
        <v>353</v>
      </c>
      <c r="C33" s="503">
        <v>41295864</v>
      </c>
      <c r="D33" s="503">
        <v>129601</v>
      </c>
      <c r="E33" s="503">
        <v>248704</v>
      </c>
      <c r="F33" s="503">
        <v>376255</v>
      </c>
      <c r="H33" s="469" t="s">
        <v>372</v>
      </c>
    </row>
    <row r="34" spans="2:8" ht="15.5" x14ac:dyDescent="0.35">
      <c r="B34" s="472" t="s">
        <v>354</v>
      </c>
      <c r="C34" s="503">
        <v>41444887</v>
      </c>
      <c r="D34" s="503">
        <v>114484</v>
      </c>
      <c r="E34" s="503">
        <v>228623</v>
      </c>
      <c r="F34" s="503">
        <v>367314</v>
      </c>
      <c r="H34" s="469" t="s">
        <v>373</v>
      </c>
    </row>
    <row r="35" spans="2:8" ht="15.5" x14ac:dyDescent="0.35">
      <c r="B35" s="472" t="s">
        <v>355</v>
      </c>
      <c r="C35" s="503">
        <v>41819682</v>
      </c>
      <c r="D35" s="503">
        <v>125468</v>
      </c>
      <c r="E35" s="503">
        <v>198193</v>
      </c>
      <c r="F35" s="503">
        <v>355959</v>
      </c>
      <c r="H35" s="469" t="s">
        <v>374</v>
      </c>
    </row>
    <row r="36" spans="2:8" ht="15.5" x14ac:dyDescent="0.35">
      <c r="B36" s="472" t="s">
        <v>356</v>
      </c>
      <c r="C36" s="503">
        <v>41273883</v>
      </c>
      <c r="D36" s="503">
        <v>120277</v>
      </c>
      <c r="E36" s="503">
        <v>210598</v>
      </c>
      <c r="F36" s="503">
        <v>413610</v>
      </c>
      <c r="H36" s="469" t="s">
        <v>375</v>
      </c>
    </row>
    <row r="37" spans="2:8" ht="15.5" x14ac:dyDescent="0.35">
      <c r="B37" s="472" t="s">
        <v>357</v>
      </c>
      <c r="C37" s="503">
        <v>39358295</v>
      </c>
      <c r="D37" s="503">
        <v>122245</v>
      </c>
      <c r="E37" s="503">
        <v>225259</v>
      </c>
      <c r="F37" s="503">
        <v>382095</v>
      </c>
      <c r="H37" s="469" t="s">
        <v>376</v>
      </c>
    </row>
    <row r="38" spans="2:8" ht="15.5" x14ac:dyDescent="0.35">
      <c r="B38" s="489" t="s">
        <v>282</v>
      </c>
      <c r="C38" s="505">
        <f>SUM(C25:C37)</f>
        <v>478254725</v>
      </c>
      <c r="D38" s="505">
        <f>SUM(D25:D37)</f>
        <v>1368121</v>
      </c>
      <c r="E38" s="505">
        <f>SUM(E25:E37)</f>
        <v>3078355</v>
      </c>
      <c r="F38" s="505">
        <f>SUM(F25:F37)</f>
        <v>4811904</v>
      </c>
      <c r="G38" s="492"/>
    </row>
    <row r="39" spans="2:8" ht="15.5" x14ac:dyDescent="0.35">
      <c r="B39" s="489" t="s">
        <v>358</v>
      </c>
      <c r="C39" s="503">
        <f>C38/13</f>
        <v>36788825</v>
      </c>
      <c r="D39" s="503">
        <f>D38/13</f>
        <v>105240.07692307692</v>
      </c>
      <c r="E39" s="503">
        <f>E38/13</f>
        <v>236796.53846153847</v>
      </c>
      <c r="F39" s="503">
        <f>F38/13</f>
        <v>370146.46153846156</v>
      </c>
    </row>
    <row r="40" spans="2:8" ht="15.5" x14ac:dyDescent="0.35">
      <c r="B40" s="506"/>
      <c r="C40" s="503"/>
      <c r="E40" s="503"/>
      <c r="F40" s="503"/>
    </row>
    <row r="41" spans="2:8" ht="31" x14ac:dyDescent="0.35">
      <c r="B41" s="502"/>
      <c r="C41" s="507" t="s">
        <v>377</v>
      </c>
      <c r="D41" s="507" t="s">
        <v>378</v>
      </c>
      <c r="E41" s="507" t="s">
        <v>379</v>
      </c>
      <c r="F41" s="507" t="s">
        <v>380</v>
      </c>
    </row>
    <row r="42" spans="2:8" ht="15.5" x14ac:dyDescent="0.35">
      <c r="B42" s="508" t="s">
        <v>345</v>
      </c>
      <c r="C42" s="509">
        <f t="shared" ref="C42:F53" si="2">(C25-C26)/C26</f>
        <v>0.15038880508474839</v>
      </c>
      <c r="D42" s="509">
        <f t="shared" si="2"/>
        <v>0.12575798540033217</v>
      </c>
      <c r="E42" s="509">
        <f t="shared" si="2"/>
        <v>-0.11553316883169851</v>
      </c>
      <c r="F42" s="509">
        <f t="shared" si="2"/>
        <v>-0.21390198800282639</v>
      </c>
    </row>
    <row r="43" spans="2:8" ht="15.5" x14ac:dyDescent="0.35">
      <c r="B43" s="478" t="s">
        <v>346</v>
      </c>
      <c r="C43" s="510">
        <f t="shared" si="2"/>
        <v>-1.9592567940633222E-2</v>
      </c>
      <c r="D43" s="510">
        <f t="shared" si="2"/>
        <v>-1.1781320373032736E-2</v>
      </c>
      <c r="E43" s="510">
        <f t="shared" si="2"/>
        <v>-0.11815376426074321</v>
      </c>
      <c r="F43" s="510">
        <f t="shared" si="2"/>
        <v>-0.11370349149666663</v>
      </c>
    </row>
    <row r="44" spans="2:8" ht="15.5" x14ac:dyDescent="0.35">
      <c r="B44" s="478" t="s">
        <v>347</v>
      </c>
      <c r="C44" s="510">
        <f t="shared" si="2"/>
        <v>-0.1102314745743284</v>
      </c>
      <c r="D44" s="510">
        <f t="shared" si="2"/>
        <v>-0.16930182417721787</v>
      </c>
      <c r="E44" s="510">
        <f t="shared" si="2"/>
        <v>0.15084460228566224</v>
      </c>
      <c r="F44" s="510">
        <f t="shared" si="2"/>
        <v>0.39988932550736173</v>
      </c>
    </row>
    <row r="45" spans="2:8" ht="15.5" x14ac:dyDescent="0.35">
      <c r="B45" s="478" t="s">
        <v>348</v>
      </c>
      <c r="C45" s="510">
        <f t="shared" si="2"/>
        <v>-5.9501500120066983E-2</v>
      </c>
      <c r="D45" s="510">
        <f t="shared" si="2"/>
        <v>-0.10793279656063207</v>
      </c>
      <c r="E45" s="510">
        <f t="shared" si="2"/>
        <v>3.3676761280495633E-2</v>
      </c>
      <c r="F45" s="510">
        <f t="shared" si="2"/>
        <v>2.0935101186322401E-3</v>
      </c>
    </row>
    <row r="46" spans="2:8" ht="15.5" x14ac:dyDescent="0.35">
      <c r="B46" s="478" t="s">
        <v>349</v>
      </c>
      <c r="C46" s="510">
        <f t="shared" si="2"/>
        <v>5.8587936449032985E-2</v>
      </c>
      <c r="D46" s="510">
        <f t="shared" si="2"/>
        <v>7.8586100998596684E-2</v>
      </c>
      <c r="E46" s="510">
        <f t="shared" si="2"/>
        <v>-0.11086002974933711</v>
      </c>
      <c r="F46" s="510">
        <f t="shared" si="2"/>
        <v>-0.11578541422767027</v>
      </c>
    </row>
    <row r="47" spans="2:8" ht="15.5" x14ac:dyDescent="0.35">
      <c r="B47" s="472" t="s">
        <v>350</v>
      </c>
      <c r="C47" s="511">
        <f t="shared" si="2"/>
        <v>-0.11470006805672484</v>
      </c>
      <c r="D47" s="511">
        <f t="shared" si="2"/>
        <v>-7.6794532379503927E-2</v>
      </c>
      <c r="E47" s="511">
        <f t="shared" si="2"/>
        <v>0.16299226184945781</v>
      </c>
      <c r="F47" s="511">
        <f t="shared" si="2"/>
        <v>1.0935733420960296E-2</v>
      </c>
    </row>
    <row r="48" spans="2:8" ht="15.5" x14ac:dyDescent="0.35">
      <c r="B48" s="472" t="s">
        <v>351</v>
      </c>
      <c r="C48" s="511">
        <f t="shared" si="2"/>
        <v>-5.2938923213392629E-2</v>
      </c>
      <c r="D48" s="511">
        <f t="shared" si="2"/>
        <v>-2.5750751453746967E-3</v>
      </c>
      <c r="E48" s="511">
        <f t="shared" si="2"/>
        <v>-0.13960898065459196</v>
      </c>
      <c r="F48" s="511">
        <f t="shared" si="2"/>
        <v>-7.633939250521507E-2</v>
      </c>
    </row>
    <row r="49" spans="2:6" ht="15.5" x14ac:dyDescent="0.35">
      <c r="B49" s="512" t="s">
        <v>352</v>
      </c>
      <c r="C49" s="511">
        <f t="shared" si="2"/>
        <v>-2.9935419198397206E-2</v>
      </c>
      <c r="D49" s="511">
        <f t="shared" si="2"/>
        <v>-0.17598629640203395</v>
      </c>
      <c r="E49" s="511">
        <f t="shared" si="2"/>
        <v>5.6267691713844568E-2</v>
      </c>
      <c r="F49" s="511">
        <f t="shared" si="2"/>
        <v>3.3280620855536805E-2</v>
      </c>
    </row>
    <row r="50" spans="2:6" ht="15.5" x14ac:dyDescent="0.35">
      <c r="B50" s="502" t="s">
        <v>353</v>
      </c>
      <c r="C50" s="511">
        <f t="shared" si="2"/>
        <v>-3.5956908267116279E-3</v>
      </c>
      <c r="D50" s="511">
        <f t="shared" si="2"/>
        <v>0.13204465252786415</v>
      </c>
      <c r="E50" s="511">
        <f t="shared" si="2"/>
        <v>8.7834557328002869E-2</v>
      </c>
      <c r="F50" s="511">
        <f t="shared" si="2"/>
        <v>2.4341571516468197E-2</v>
      </c>
    </row>
    <row r="51" spans="2:6" ht="15.5" x14ac:dyDescent="0.35">
      <c r="B51" s="502" t="s">
        <v>354</v>
      </c>
      <c r="C51" s="511">
        <f t="shared" si="2"/>
        <v>-8.9621676224128158E-3</v>
      </c>
      <c r="D51" s="511">
        <f t="shared" si="2"/>
        <v>-8.7544234386457101E-2</v>
      </c>
      <c r="E51" s="511">
        <f t="shared" si="2"/>
        <v>0.15353720868042767</v>
      </c>
      <c r="F51" s="511">
        <f t="shared" si="2"/>
        <v>3.1899741262336391E-2</v>
      </c>
    </row>
    <row r="52" spans="2:6" ht="15.5" x14ac:dyDescent="0.35">
      <c r="B52" s="482" t="s">
        <v>355</v>
      </c>
      <c r="C52" s="511">
        <f t="shared" si="2"/>
        <v>1.3223834549320208E-2</v>
      </c>
      <c r="D52" s="511">
        <f t="shared" si="2"/>
        <v>4.3158708647538596E-2</v>
      </c>
      <c r="E52" s="511">
        <f t="shared" si="2"/>
        <v>-5.8903693292433924E-2</v>
      </c>
      <c r="F52" s="511">
        <f t="shared" si="2"/>
        <v>-0.13938492783056503</v>
      </c>
    </row>
    <row r="53" spans="2:6" ht="15.5" x14ac:dyDescent="0.35">
      <c r="B53" s="482" t="s">
        <v>356</v>
      </c>
      <c r="C53" s="511">
        <f t="shared" si="2"/>
        <v>4.8670502622128319E-2</v>
      </c>
      <c r="D53" s="511">
        <f t="shared" si="2"/>
        <v>-1.6098817947564317E-2</v>
      </c>
      <c r="E53" s="511">
        <f t="shared" si="2"/>
        <v>-6.5085079841426974E-2</v>
      </c>
      <c r="F53" s="511">
        <f t="shared" si="2"/>
        <v>8.2479488085423783E-2</v>
      </c>
    </row>
    <row r="54" spans="2:6" ht="15.5" x14ac:dyDescent="0.35">
      <c r="B54" s="482"/>
      <c r="C54" s="513" t="s">
        <v>381</v>
      </c>
      <c r="D54" s="511"/>
      <c r="E54" s="511"/>
      <c r="F54" s="511"/>
    </row>
    <row r="55" spans="2:6" ht="15.5" x14ac:dyDescent="0.35">
      <c r="B55" s="482"/>
      <c r="C55" s="511"/>
      <c r="D55" s="511"/>
      <c r="E55" s="511"/>
      <c r="F55" s="511"/>
    </row>
    <row r="56" spans="2:6" ht="15.5" x14ac:dyDescent="0.35">
      <c r="B56" s="482"/>
      <c r="C56" s="511"/>
      <c r="D56" s="511"/>
      <c r="E56" s="511"/>
      <c r="F56" s="511"/>
    </row>
    <row r="57" spans="2:6" ht="15.5" x14ac:dyDescent="0.35">
      <c r="B57" s="482"/>
      <c r="C57" s="511"/>
      <c r="D57" s="511"/>
      <c r="E57" s="511"/>
      <c r="F57" s="511"/>
    </row>
    <row r="58" spans="2:6" ht="15.5" x14ac:dyDescent="0.35">
      <c r="B58" s="482"/>
      <c r="C58" s="511"/>
      <c r="D58" s="511"/>
      <c r="E58" s="511"/>
      <c r="F58" s="511"/>
    </row>
    <row r="59" spans="2:6" ht="15.5" x14ac:dyDescent="0.35">
      <c r="B59" s="482"/>
      <c r="C59" s="511"/>
      <c r="D59" s="511"/>
      <c r="E59" s="511"/>
      <c r="F59" s="511"/>
    </row>
    <row r="60" spans="2:6" ht="15.5" x14ac:dyDescent="0.35">
      <c r="B60" s="482"/>
      <c r="C60" s="511"/>
      <c r="D60" s="511"/>
      <c r="E60" s="511"/>
      <c r="F60" s="511"/>
    </row>
    <row r="61" spans="2:6" x14ac:dyDescent="0.25">
      <c r="D61" s="469"/>
      <c r="E61" s="469"/>
      <c r="F61" s="469"/>
    </row>
  </sheetData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95"/>
  <sheetViews>
    <sheetView workbookViewId="0"/>
  </sheetViews>
  <sheetFormatPr defaultColWidth="9.1796875" defaultRowHeight="12.5" x14ac:dyDescent="0.25"/>
  <cols>
    <col min="1" max="1" width="31.54296875" style="403" customWidth="1"/>
    <col min="2" max="4" width="18.453125" style="403" customWidth="1"/>
    <col min="5" max="5" width="16.1796875" style="404" customWidth="1"/>
    <col min="6" max="6" width="13.453125" style="405" customWidth="1"/>
    <col min="7" max="7" width="17.81640625" style="405" customWidth="1"/>
    <col min="8" max="8" width="16.1796875" style="405" customWidth="1"/>
    <col min="9" max="9" width="14.1796875" style="405" customWidth="1"/>
    <col min="10" max="11" width="15.1796875" style="405" customWidth="1"/>
    <col min="12" max="12" width="13.1796875" style="405" customWidth="1"/>
    <col min="13" max="13" width="13.54296875" style="405" customWidth="1"/>
    <col min="14" max="14" width="16" style="405" customWidth="1"/>
    <col min="15" max="20" width="9.1796875" style="405"/>
    <col min="21" max="21" width="9" style="405" customWidth="1"/>
    <col min="22" max="16384" width="9.1796875" style="405"/>
  </cols>
  <sheetData>
    <row r="1" spans="1:21" x14ac:dyDescent="0.25">
      <c r="A1" s="401" t="s">
        <v>283</v>
      </c>
      <c r="B1" s="402" t="s">
        <v>284</v>
      </c>
    </row>
    <row r="2" spans="1:21" x14ac:dyDescent="0.25">
      <c r="A2" s="406"/>
      <c r="B2" s="402" t="s">
        <v>285</v>
      </c>
    </row>
    <row r="3" spans="1:21" x14ac:dyDescent="0.25">
      <c r="A3" s="406"/>
      <c r="B3" s="402" t="s">
        <v>286</v>
      </c>
    </row>
    <row r="4" spans="1:21" x14ac:dyDescent="0.25">
      <c r="A4" s="406"/>
      <c r="B4" s="402" t="s">
        <v>287</v>
      </c>
    </row>
    <row r="5" spans="1:21" x14ac:dyDescent="0.25">
      <c r="A5" s="406"/>
      <c r="B5" s="402" t="s">
        <v>288</v>
      </c>
    </row>
    <row r="6" spans="1:21" ht="20.25" customHeight="1" x14ac:dyDescent="0.4">
      <c r="A6" s="407" t="s">
        <v>289</v>
      </c>
      <c r="C6" s="403" t="s">
        <v>290</v>
      </c>
      <c r="E6" s="408"/>
    </row>
    <row r="7" spans="1:21" x14ac:dyDescent="0.25">
      <c r="B7" s="409" t="s">
        <v>291</v>
      </c>
      <c r="C7" s="409" t="s">
        <v>292</v>
      </c>
      <c r="D7" s="409" t="s">
        <v>293</v>
      </c>
      <c r="E7" s="410" t="s">
        <v>294</v>
      </c>
      <c r="F7" s="411" t="s">
        <v>295</v>
      </c>
      <c r="G7" s="411" t="s">
        <v>296</v>
      </c>
      <c r="H7" s="411" t="s">
        <v>297</v>
      </c>
      <c r="I7" s="411" t="s">
        <v>298</v>
      </c>
      <c r="J7" s="411" t="s">
        <v>299</v>
      </c>
      <c r="K7" s="411" t="s">
        <v>300</v>
      </c>
      <c r="L7" s="411" t="s">
        <v>301</v>
      </c>
      <c r="M7" s="411" t="s">
        <v>302</v>
      </c>
      <c r="N7" s="411" t="s">
        <v>57</v>
      </c>
    </row>
    <row r="8" spans="1:21" ht="15.75" customHeight="1" x14ac:dyDescent="0.25">
      <c r="A8" s="412" t="s">
        <v>303</v>
      </c>
      <c r="B8" s="413">
        <v>0</v>
      </c>
      <c r="C8" s="413">
        <v>0</v>
      </c>
      <c r="D8" s="413">
        <v>0</v>
      </c>
      <c r="E8" s="413">
        <v>0</v>
      </c>
      <c r="F8" s="413">
        <v>0</v>
      </c>
      <c r="G8" s="413">
        <v>0</v>
      </c>
      <c r="H8" s="413">
        <v>0</v>
      </c>
      <c r="I8" s="413">
        <v>0.22600000000000001</v>
      </c>
      <c r="J8" s="413">
        <v>0</v>
      </c>
      <c r="K8" s="413">
        <v>0</v>
      </c>
      <c r="L8" s="413">
        <v>0</v>
      </c>
      <c r="M8" s="413">
        <v>0</v>
      </c>
      <c r="N8" s="413">
        <f>SUM(B8:M8)/12</f>
        <v>1.8833333333333334E-2</v>
      </c>
    </row>
    <row r="9" spans="1:21" ht="18.5" x14ac:dyDescent="0.55000000000000004">
      <c r="A9" s="414" t="s">
        <v>304</v>
      </c>
      <c r="B9" s="415">
        <v>0</v>
      </c>
      <c r="C9" s="415">
        <v>0</v>
      </c>
      <c r="D9" s="415">
        <v>0</v>
      </c>
      <c r="E9" s="415">
        <v>0</v>
      </c>
      <c r="F9" s="415">
        <v>0</v>
      </c>
      <c r="G9" s="416">
        <v>0</v>
      </c>
      <c r="H9" s="416">
        <v>0</v>
      </c>
      <c r="I9" s="416">
        <v>1584080</v>
      </c>
      <c r="J9" s="416">
        <v>0</v>
      </c>
      <c r="K9" s="416">
        <v>0</v>
      </c>
      <c r="L9" s="416"/>
      <c r="M9" s="416"/>
      <c r="N9" s="417">
        <f>SUM(B9:M9)</f>
        <v>1584080</v>
      </c>
      <c r="O9" s="416"/>
      <c r="P9" s="418"/>
      <c r="Q9" s="416"/>
      <c r="R9" s="416"/>
      <c r="S9" s="416"/>
    </row>
    <row r="10" spans="1:21" ht="18.5" x14ac:dyDescent="0.55000000000000004">
      <c r="A10" s="414" t="s">
        <v>305</v>
      </c>
      <c r="B10" s="415">
        <f t="shared" ref="B10:M10" si="0">B9/2000</f>
        <v>0</v>
      </c>
      <c r="C10" s="415">
        <f t="shared" si="0"/>
        <v>0</v>
      </c>
      <c r="D10" s="415">
        <f t="shared" si="0"/>
        <v>0</v>
      </c>
      <c r="E10" s="415">
        <f t="shared" si="0"/>
        <v>0</v>
      </c>
      <c r="F10" s="415">
        <f t="shared" si="0"/>
        <v>0</v>
      </c>
      <c r="G10" s="415">
        <f t="shared" si="0"/>
        <v>0</v>
      </c>
      <c r="H10" s="415">
        <f t="shared" si="0"/>
        <v>0</v>
      </c>
      <c r="I10" s="415">
        <v>792</v>
      </c>
      <c r="J10" s="415">
        <v>0</v>
      </c>
      <c r="K10" s="415">
        <f t="shared" si="0"/>
        <v>0</v>
      </c>
      <c r="L10" s="415">
        <f t="shared" si="0"/>
        <v>0</v>
      </c>
      <c r="M10" s="415">
        <f t="shared" si="0"/>
        <v>0</v>
      </c>
      <c r="N10" s="417">
        <f t="shared" ref="N10:N20" si="1">SUM(B10:M10)</f>
        <v>792</v>
      </c>
      <c r="O10" s="416"/>
      <c r="P10" s="418"/>
      <c r="Q10" s="416"/>
      <c r="R10" s="416"/>
      <c r="S10" s="416"/>
    </row>
    <row r="11" spans="1:21" ht="18.5" x14ac:dyDescent="0.55000000000000004">
      <c r="A11" s="419" t="s">
        <v>306</v>
      </c>
      <c r="B11" s="416">
        <f t="shared" ref="B11:L11" si="2">(8500*(1-B8)*B9)/1000000</f>
        <v>0</v>
      </c>
      <c r="C11" s="416">
        <v>0</v>
      </c>
      <c r="D11" s="416">
        <f t="shared" si="2"/>
        <v>0</v>
      </c>
      <c r="E11" s="416">
        <f t="shared" si="2"/>
        <v>0</v>
      </c>
      <c r="F11" s="416">
        <f t="shared" si="2"/>
        <v>0</v>
      </c>
      <c r="G11" s="416">
        <f t="shared" si="2"/>
        <v>0</v>
      </c>
      <c r="H11" s="416">
        <f t="shared" si="2"/>
        <v>0</v>
      </c>
      <c r="I11" s="416">
        <f t="shared" si="2"/>
        <v>10421.662319999999</v>
      </c>
      <c r="J11" s="416">
        <v>0</v>
      </c>
      <c r="K11" s="416">
        <f t="shared" si="2"/>
        <v>0</v>
      </c>
      <c r="L11" s="416">
        <f t="shared" si="2"/>
        <v>0</v>
      </c>
      <c r="M11" s="416">
        <v>0</v>
      </c>
      <c r="N11" s="417">
        <f t="shared" si="1"/>
        <v>10421.662319999999</v>
      </c>
      <c r="P11" s="418"/>
    </row>
    <row r="12" spans="1:21" ht="18.5" x14ac:dyDescent="0.55000000000000004">
      <c r="A12" s="419" t="s">
        <v>307</v>
      </c>
      <c r="B12" s="414">
        <v>0</v>
      </c>
      <c r="C12" s="414">
        <v>0</v>
      </c>
      <c r="D12" s="414">
        <v>0</v>
      </c>
      <c r="E12" s="403">
        <v>0</v>
      </c>
      <c r="F12" s="403">
        <v>0</v>
      </c>
      <c r="G12" s="403">
        <v>0</v>
      </c>
      <c r="H12" s="403">
        <v>0</v>
      </c>
      <c r="I12" s="403">
        <v>35641.800000000003</v>
      </c>
      <c r="J12" s="403">
        <v>0</v>
      </c>
      <c r="K12" s="403">
        <v>0</v>
      </c>
      <c r="L12" s="403">
        <v>0</v>
      </c>
      <c r="M12" s="403">
        <v>0</v>
      </c>
      <c r="N12" s="417">
        <f t="shared" si="1"/>
        <v>35641.800000000003</v>
      </c>
      <c r="O12" s="403"/>
      <c r="P12" s="418"/>
      <c r="Q12" s="403"/>
      <c r="R12" s="403"/>
      <c r="S12" s="403"/>
      <c r="T12" s="403"/>
      <c r="U12" s="403"/>
    </row>
    <row r="13" spans="1:21" ht="18.5" x14ac:dyDescent="0.55000000000000004">
      <c r="A13" s="420" t="s">
        <v>308</v>
      </c>
      <c r="B13" s="421">
        <v>0</v>
      </c>
      <c r="C13" s="421">
        <v>0</v>
      </c>
      <c r="D13" s="421">
        <v>0</v>
      </c>
      <c r="E13" s="421">
        <v>0</v>
      </c>
      <c r="F13" s="421">
        <v>0</v>
      </c>
      <c r="G13" s="421">
        <v>0</v>
      </c>
      <c r="H13" s="421">
        <v>0</v>
      </c>
      <c r="I13" s="421">
        <f t="shared" ref="I13" si="3">I12/I11</f>
        <v>3.4199726402188788</v>
      </c>
      <c r="J13" s="421">
        <v>0</v>
      </c>
      <c r="K13" s="421">
        <v>0</v>
      </c>
      <c r="L13" s="421">
        <v>0</v>
      </c>
      <c r="M13" s="421">
        <v>0</v>
      </c>
      <c r="N13" s="422">
        <v>3.42</v>
      </c>
      <c r="P13" s="418"/>
    </row>
    <row r="14" spans="1:21" ht="18.5" x14ac:dyDescent="0.55000000000000004">
      <c r="A14" s="419" t="s">
        <v>309</v>
      </c>
      <c r="B14" s="415">
        <v>18618</v>
      </c>
      <c r="C14" s="419">
        <v>19210</v>
      </c>
      <c r="D14" s="415">
        <v>20108</v>
      </c>
      <c r="E14" s="416">
        <v>23671</v>
      </c>
      <c r="F14" s="416">
        <v>27068</v>
      </c>
      <c r="G14" s="416">
        <v>31936</v>
      </c>
      <c r="H14" s="416">
        <v>41686</v>
      </c>
      <c r="I14" s="416">
        <v>32537</v>
      </c>
      <c r="J14" s="416">
        <v>33288</v>
      </c>
      <c r="K14" s="416">
        <v>29452</v>
      </c>
      <c r="L14" s="416">
        <v>18722</v>
      </c>
      <c r="M14" s="416">
        <v>17430</v>
      </c>
      <c r="N14" s="417">
        <f>SUM(B14:M14)</f>
        <v>313726</v>
      </c>
      <c r="O14" s="416"/>
      <c r="P14" s="418"/>
    </row>
    <row r="15" spans="1:21" ht="18.5" x14ac:dyDescent="0.55000000000000004">
      <c r="A15" s="419" t="s">
        <v>281</v>
      </c>
      <c r="B15" s="414">
        <v>77937.36</v>
      </c>
      <c r="C15" s="414">
        <v>79477.710000000006</v>
      </c>
      <c r="D15" s="414">
        <v>85913.43</v>
      </c>
      <c r="E15" s="403">
        <v>100259.89</v>
      </c>
      <c r="F15" s="403">
        <v>123878.94</v>
      </c>
      <c r="G15" s="403">
        <v>150565.6</v>
      </c>
      <c r="H15" s="403">
        <v>186889.26</v>
      </c>
      <c r="I15" s="403">
        <v>159462.35</v>
      </c>
      <c r="J15" s="403">
        <v>148723.23000000001</v>
      </c>
      <c r="K15" s="403">
        <v>121861.48</v>
      </c>
      <c r="L15" s="403">
        <v>78276.22</v>
      </c>
      <c r="M15" s="403">
        <v>69876.91</v>
      </c>
      <c r="N15" s="423">
        <f t="shared" si="1"/>
        <v>1383122.38</v>
      </c>
      <c r="P15" s="418"/>
    </row>
    <row r="16" spans="1:21" ht="18.5" x14ac:dyDescent="0.55000000000000004">
      <c r="A16" s="420" t="s">
        <v>310</v>
      </c>
      <c r="B16" s="421">
        <f>B15/B14</f>
        <v>4.186129552046407</v>
      </c>
      <c r="C16" s="421">
        <f t="shared" ref="C16:M16" si="4">C15/C14</f>
        <v>4.1373092139510677</v>
      </c>
      <c r="D16" s="421">
        <f t="shared" si="4"/>
        <v>4.2725994629003381</v>
      </c>
      <c r="E16" s="421">
        <f t="shared" si="4"/>
        <v>4.2355578556039033</v>
      </c>
      <c r="F16" s="421">
        <f t="shared" si="4"/>
        <v>4.5765826806561254</v>
      </c>
      <c r="G16" s="421">
        <f t="shared" si="4"/>
        <v>4.7146042084168336</v>
      </c>
      <c r="H16" s="421">
        <f t="shared" si="4"/>
        <v>4.4832620064290172</v>
      </c>
      <c r="I16" s="421">
        <f t="shared" si="4"/>
        <v>4.9009542981836063</v>
      </c>
      <c r="J16" s="421">
        <f t="shared" si="4"/>
        <v>4.4677730713770734</v>
      </c>
      <c r="K16" s="421">
        <f t="shared" si="4"/>
        <v>4.1376300421024039</v>
      </c>
      <c r="L16" s="421">
        <f t="shared" si="4"/>
        <v>4.1809753231492364</v>
      </c>
      <c r="M16" s="421">
        <f t="shared" si="4"/>
        <v>4.0090022948938611</v>
      </c>
      <c r="N16" s="422">
        <f>SUM(B16:M16)/12</f>
        <v>4.3585316674758223</v>
      </c>
      <c r="O16" s="403" t="s">
        <v>227</v>
      </c>
      <c r="P16" s="418"/>
    </row>
    <row r="17" spans="1:23" ht="18.5" x14ac:dyDescent="0.55000000000000004">
      <c r="A17" s="424" t="s">
        <v>311</v>
      </c>
      <c r="B17" s="425">
        <v>3.54</v>
      </c>
      <c r="C17" s="425">
        <v>3.54</v>
      </c>
      <c r="D17" s="425">
        <v>3.65</v>
      </c>
      <c r="E17" s="426">
        <v>3.63</v>
      </c>
      <c r="F17" s="426">
        <v>3.83</v>
      </c>
      <c r="G17" s="426">
        <v>3.97</v>
      </c>
      <c r="H17" s="426">
        <v>3.76</v>
      </c>
      <c r="I17" s="426">
        <v>3.76</v>
      </c>
      <c r="J17" s="426">
        <v>3.73</v>
      </c>
      <c r="K17" s="426">
        <v>3.64</v>
      </c>
      <c r="L17" s="426">
        <v>3.54</v>
      </c>
      <c r="M17" s="426">
        <v>3.36</v>
      </c>
      <c r="N17" s="427">
        <f>SUM(B17:M17)/12</f>
        <v>3.6624999999999992</v>
      </c>
      <c r="O17" s="403" t="s">
        <v>227</v>
      </c>
      <c r="P17" s="418"/>
      <c r="Q17" s="428"/>
      <c r="R17" s="428"/>
      <c r="S17" s="428"/>
      <c r="T17" s="428"/>
      <c r="U17" s="428"/>
      <c r="V17" s="428"/>
      <c r="W17" s="428"/>
    </row>
    <row r="18" spans="1:23" ht="18.5" x14ac:dyDescent="0.55000000000000004">
      <c r="A18" s="419" t="s">
        <v>312</v>
      </c>
      <c r="B18" s="419">
        <v>0</v>
      </c>
      <c r="C18" s="419">
        <v>0</v>
      </c>
      <c r="D18" s="415">
        <v>0</v>
      </c>
      <c r="E18" s="416">
        <v>0</v>
      </c>
      <c r="F18" s="416">
        <v>0</v>
      </c>
      <c r="G18" s="416">
        <v>0</v>
      </c>
      <c r="H18" s="416">
        <v>0</v>
      </c>
      <c r="I18" s="416">
        <v>0</v>
      </c>
      <c r="J18" s="416">
        <v>0</v>
      </c>
      <c r="K18" s="416">
        <v>0</v>
      </c>
      <c r="L18" s="416">
        <v>0</v>
      </c>
      <c r="M18" s="416">
        <v>0</v>
      </c>
      <c r="N18" s="417">
        <f t="shared" si="1"/>
        <v>0</v>
      </c>
      <c r="O18" s="403"/>
      <c r="P18" s="418"/>
      <c r="Q18" s="428"/>
      <c r="R18" s="428"/>
      <c r="S18" s="428"/>
      <c r="T18" s="428"/>
      <c r="U18" s="428"/>
      <c r="V18" s="428"/>
      <c r="W18" s="428"/>
    </row>
    <row r="19" spans="1:23" ht="18.5" x14ac:dyDescent="0.55000000000000004">
      <c r="A19" s="419" t="s">
        <v>313</v>
      </c>
      <c r="B19" s="419">
        <v>0</v>
      </c>
      <c r="C19" s="415">
        <v>0</v>
      </c>
      <c r="D19" s="415">
        <f t="shared" ref="D19:K19" si="5">D18*0.141</f>
        <v>0</v>
      </c>
      <c r="E19" s="415">
        <f t="shared" si="5"/>
        <v>0</v>
      </c>
      <c r="F19" s="415">
        <f t="shared" si="5"/>
        <v>0</v>
      </c>
      <c r="G19" s="415">
        <f t="shared" si="5"/>
        <v>0</v>
      </c>
      <c r="H19" s="415">
        <f t="shared" si="5"/>
        <v>0</v>
      </c>
      <c r="I19" s="415">
        <f t="shared" si="5"/>
        <v>0</v>
      </c>
      <c r="J19" s="415">
        <v>0</v>
      </c>
      <c r="K19" s="415">
        <f t="shared" si="5"/>
        <v>0</v>
      </c>
      <c r="L19" s="415">
        <v>0</v>
      </c>
      <c r="M19" s="416">
        <v>0</v>
      </c>
      <c r="N19" s="417">
        <f t="shared" si="1"/>
        <v>0</v>
      </c>
      <c r="O19" s="403"/>
      <c r="P19" s="418"/>
      <c r="Q19" s="428"/>
      <c r="R19" s="428"/>
      <c r="S19" s="428"/>
      <c r="T19" s="428"/>
      <c r="U19" s="428"/>
      <c r="V19" s="428"/>
      <c r="W19" s="428"/>
    </row>
    <row r="20" spans="1:23" ht="13" x14ac:dyDescent="0.3">
      <c r="A20" s="419" t="s">
        <v>314</v>
      </c>
      <c r="B20" s="414">
        <v>0</v>
      </c>
      <c r="C20" s="414">
        <v>0</v>
      </c>
      <c r="D20" s="414">
        <v>0</v>
      </c>
      <c r="E20" s="403">
        <v>0</v>
      </c>
      <c r="F20" s="403">
        <v>0</v>
      </c>
      <c r="G20" s="403">
        <v>0</v>
      </c>
      <c r="H20" s="403">
        <v>0</v>
      </c>
      <c r="I20" s="403">
        <v>0</v>
      </c>
      <c r="J20" s="403">
        <v>0</v>
      </c>
      <c r="K20" s="403">
        <v>0</v>
      </c>
      <c r="L20" s="403">
        <v>0</v>
      </c>
      <c r="M20" s="403">
        <v>0</v>
      </c>
      <c r="N20" s="423">
        <f t="shared" si="1"/>
        <v>0</v>
      </c>
      <c r="O20" s="403"/>
      <c r="P20" s="428"/>
      <c r="Q20" s="428"/>
      <c r="R20" s="428"/>
      <c r="S20" s="428"/>
      <c r="T20" s="428"/>
      <c r="U20" s="428"/>
      <c r="V20" s="428"/>
      <c r="W20" s="428"/>
    </row>
    <row r="21" spans="1:23" ht="13" x14ac:dyDescent="0.3">
      <c r="A21" s="420" t="s">
        <v>315</v>
      </c>
      <c r="B21" s="403">
        <v>0</v>
      </c>
      <c r="C21" s="403">
        <v>0</v>
      </c>
      <c r="D21" s="403">
        <v>0</v>
      </c>
      <c r="E21" s="403">
        <v>0</v>
      </c>
      <c r="F21" s="403">
        <v>0</v>
      </c>
      <c r="G21" s="403">
        <v>0</v>
      </c>
      <c r="H21" s="403">
        <v>0</v>
      </c>
      <c r="I21" s="403">
        <v>0</v>
      </c>
      <c r="J21" s="403">
        <v>0</v>
      </c>
      <c r="K21" s="403">
        <v>0</v>
      </c>
      <c r="L21" s="403">
        <v>0</v>
      </c>
      <c r="M21" s="403">
        <v>0</v>
      </c>
      <c r="N21" s="423">
        <f>SUM(B21:M21)/12</f>
        <v>0</v>
      </c>
      <c r="O21" s="403" t="s">
        <v>227</v>
      </c>
      <c r="P21" s="428"/>
      <c r="Q21" s="428"/>
      <c r="R21" s="428"/>
      <c r="S21" s="428"/>
      <c r="T21" s="428"/>
      <c r="U21" s="428"/>
      <c r="V21" s="428"/>
      <c r="W21" s="428"/>
    </row>
    <row r="22" spans="1:23" x14ac:dyDescent="0.25">
      <c r="A22" s="429" t="s">
        <v>316</v>
      </c>
      <c r="B22" s="430">
        <f t="shared" ref="B22:I22" si="6">B12+B15+B20</f>
        <v>77937.36</v>
      </c>
      <c r="C22" s="430">
        <f t="shared" si="6"/>
        <v>79477.710000000006</v>
      </c>
      <c r="D22" s="430">
        <f t="shared" si="6"/>
        <v>85913.43</v>
      </c>
      <c r="E22" s="430">
        <f>E12+E15+E20</f>
        <v>100259.89</v>
      </c>
      <c r="F22" s="430">
        <f t="shared" si="6"/>
        <v>123878.94</v>
      </c>
      <c r="G22" s="430">
        <f>G12+G15+G20</f>
        <v>150565.6</v>
      </c>
      <c r="H22" s="430">
        <f t="shared" si="6"/>
        <v>186889.26</v>
      </c>
      <c r="I22" s="430">
        <f t="shared" si="6"/>
        <v>195104.15000000002</v>
      </c>
      <c r="J22" s="430">
        <f>J12+J15+J20</f>
        <v>148723.23000000001</v>
      </c>
      <c r="K22" s="430">
        <f>K12+K15+K20</f>
        <v>121861.48</v>
      </c>
      <c r="L22" s="430">
        <f>L12+L15+L20</f>
        <v>78276.22</v>
      </c>
      <c r="M22" s="430">
        <f>M12+M15+M20</f>
        <v>69876.91</v>
      </c>
      <c r="N22" s="431">
        <f>SUM(B22:M22)</f>
        <v>1418764.18</v>
      </c>
      <c r="O22" s="403"/>
    </row>
    <row r="23" spans="1:23" x14ac:dyDescent="0.25">
      <c r="A23" s="419" t="s">
        <v>317</v>
      </c>
      <c r="B23" s="416">
        <f>B11+B14+B18</f>
        <v>18618</v>
      </c>
      <c r="C23" s="416">
        <f>C11+C14+C18</f>
        <v>19210</v>
      </c>
      <c r="D23" s="416">
        <f>D11+D14+D18</f>
        <v>20108</v>
      </c>
      <c r="E23" s="416">
        <f>E11+E14+E19</f>
        <v>23671</v>
      </c>
      <c r="F23" s="416">
        <f t="shared" ref="F23:M23" si="7">F11+F14+F19</f>
        <v>27068</v>
      </c>
      <c r="G23" s="416">
        <f>G11+G14+G19</f>
        <v>31936</v>
      </c>
      <c r="H23" s="416">
        <f t="shared" si="7"/>
        <v>41686</v>
      </c>
      <c r="I23" s="416">
        <f t="shared" si="7"/>
        <v>42958.662320000003</v>
      </c>
      <c r="J23" s="416">
        <f t="shared" si="7"/>
        <v>33288</v>
      </c>
      <c r="K23" s="416">
        <f t="shared" si="7"/>
        <v>29452</v>
      </c>
      <c r="L23" s="416">
        <f t="shared" si="7"/>
        <v>18722</v>
      </c>
      <c r="M23" s="432">
        <f t="shared" si="7"/>
        <v>17430</v>
      </c>
      <c r="N23" s="433">
        <f>SUM(B23:M23)</f>
        <v>324147.66232</v>
      </c>
    </row>
    <row r="24" spans="1:23" ht="13" x14ac:dyDescent="0.3">
      <c r="A24" s="434" t="s">
        <v>318</v>
      </c>
      <c r="B24" s="435">
        <f t="shared" ref="B24:H24" si="8">B22/B23</f>
        <v>4.186129552046407</v>
      </c>
      <c r="C24" s="435">
        <f t="shared" si="8"/>
        <v>4.1373092139510677</v>
      </c>
      <c r="D24" s="435">
        <f t="shared" si="8"/>
        <v>4.2725994629003381</v>
      </c>
      <c r="E24" s="435">
        <f t="shared" si="8"/>
        <v>4.2355578556039033</v>
      </c>
      <c r="F24" s="435">
        <f t="shared" si="8"/>
        <v>4.5765826806561254</v>
      </c>
      <c r="G24" s="435">
        <f>G22/G23</f>
        <v>4.7146042084168336</v>
      </c>
      <c r="H24" s="435">
        <f t="shared" si="8"/>
        <v>4.4832620064290172</v>
      </c>
      <c r="I24" s="435">
        <f>I22/I23</f>
        <v>4.5416719111657855</v>
      </c>
      <c r="J24" s="435">
        <f>J22/J23</f>
        <v>4.4677730713770734</v>
      </c>
      <c r="K24" s="435">
        <f>K22/K23</f>
        <v>4.1376300421024039</v>
      </c>
      <c r="L24" s="435">
        <f>L22/L23</f>
        <v>4.1809753231492364</v>
      </c>
      <c r="M24" s="435">
        <f>M22/M23</f>
        <v>4.0090022948938611</v>
      </c>
      <c r="N24" s="436">
        <f>SUM(B24:M24)/12</f>
        <v>4.3285914685576712</v>
      </c>
      <c r="O24" s="403" t="s">
        <v>227</v>
      </c>
    </row>
    <row r="25" spans="1:23" x14ac:dyDescent="0.25">
      <c r="A25" s="437" t="s">
        <v>319</v>
      </c>
      <c r="B25" s="438">
        <v>16539000</v>
      </c>
      <c r="C25" s="438">
        <v>17025000</v>
      </c>
      <c r="D25" s="438">
        <v>17826000</v>
      </c>
      <c r="E25" s="438">
        <v>20961000</v>
      </c>
      <c r="F25" s="438">
        <v>20923000</v>
      </c>
      <c r="G25" s="438">
        <v>25014000</v>
      </c>
      <c r="H25" s="438">
        <v>34055000</v>
      </c>
      <c r="I25" s="438">
        <v>26219000</v>
      </c>
      <c r="J25" s="438">
        <v>26844000</v>
      </c>
      <c r="K25" s="438">
        <v>23887000</v>
      </c>
      <c r="L25" s="416">
        <v>17187000</v>
      </c>
      <c r="M25" s="416">
        <v>15299000</v>
      </c>
      <c r="N25" s="417">
        <f>SUM(B25:M25)</f>
        <v>261779000</v>
      </c>
    </row>
    <row r="26" spans="1:23" x14ac:dyDescent="0.25">
      <c r="A26" s="437" t="s">
        <v>320</v>
      </c>
      <c r="B26" s="438">
        <v>0</v>
      </c>
      <c r="C26" s="438">
        <v>0</v>
      </c>
      <c r="D26" s="438">
        <v>0</v>
      </c>
      <c r="E26" s="438">
        <v>0</v>
      </c>
      <c r="F26" s="438">
        <v>0</v>
      </c>
      <c r="G26" s="438">
        <v>0</v>
      </c>
      <c r="H26" s="438">
        <v>0</v>
      </c>
      <c r="I26" s="438">
        <v>5339000</v>
      </c>
      <c r="J26" s="438">
        <v>0</v>
      </c>
      <c r="K26" s="438">
        <v>0</v>
      </c>
      <c r="L26" s="416">
        <v>0</v>
      </c>
      <c r="M26" s="416">
        <v>0</v>
      </c>
      <c r="N26" s="417">
        <f>SUM(B26:M26)</f>
        <v>5339000</v>
      </c>
    </row>
    <row r="27" spans="1:23" x14ac:dyDescent="0.25">
      <c r="A27" s="419" t="s">
        <v>321</v>
      </c>
      <c r="B27" s="439">
        <f t="shared" ref="B27:F27" si="9">SUM(B25:B26)</f>
        <v>16539000</v>
      </c>
      <c r="C27" s="439">
        <f t="shared" si="9"/>
        <v>17025000</v>
      </c>
      <c r="D27" s="439">
        <f t="shared" si="9"/>
        <v>17826000</v>
      </c>
      <c r="E27" s="439">
        <f t="shared" si="9"/>
        <v>20961000</v>
      </c>
      <c r="F27" s="439">
        <f t="shared" si="9"/>
        <v>20923000</v>
      </c>
      <c r="G27" s="439">
        <f>SUM(G25:G26)</f>
        <v>25014000</v>
      </c>
      <c r="H27" s="439">
        <f t="shared" ref="H27:M27" si="10">SUM(H25:H26)</f>
        <v>34055000</v>
      </c>
      <c r="I27" s="439">
        <f t="shared" si="10"/>
        <v>31558000</v>
      </c>
      <c r="J27" s="439">
        <f t="shared" si="10"/>
        <v>26844000</v>
      </c>
      <c r="K27" s="439">
        <f t="shared" si="10"/>
        <v>23887000</v>
      </c>
      <c r="L27" s="439">
        <f t="shared" si="10"/>
        <v>17187000</v>
      </c>
      <c r="M27" s="439">
        <f t="shared" si="10"/>
        <v>15299000</v>
      </c>
      <c r="N27" s="440">
        <f>SUM(B27:M27)</f>
        <v>267118000</v>
      </c>
      <c r="O27" s="416"/>
      <c r="P27" s="416"/>
      <c r="Q27" s="416"/>
      <c r="R27" s="416"/>
      <c r="S27" s="416"/>
      <c r="T27" s="416"/>
      <c r="U27" s="416"/>
      <c r="V27" s="416"/>
    </row>
    <row r="28" spans="1:23" x14ac:dyDescent="0.25">
      <c r="A28" s="419" t="s">
        <v>322</v>
      </c>
      <c r="B28" s="441">
        <f>B22/(B27*1000)</f>
        <v>4.7123381099220028E-6</v>
      </c>
      <c r="C28" s="441">
        <f>C22/(C27*1000)</f>
        <v>4.6682942731277535E-6</v>
      </c>
      <c r="D28" s="441">
        <f t="shared" ref="D28:I28" si="11">D22/(D27*1000)</f>
        <v>4.8195573880848198E-6</v>
      </c>
      <c r="E28" s="441">
        <f t="shared" si="11"/>
        <v>4.7831634941081053E-6</v>
      </c>
      <c r="F28" s="441">
        <f>F22/(F27*1000)</f>
        <v>5.9207063996558813E-6</v>
      </c>
      <c r="G28" s="441">
        <f>G22/(G27*1000)</f>
        <v>6.0192532181978098E-6</v>
      </c>
      <c r="H28" s="441">
        <f t="shared" si="11"/>
        <v>5.4878655116722955E-6</v>
      </c>
      <c r="I28" s="441">
        <f t="shared" si="11"/>
        <v>6.1823990747195648E-6</v>
      </c>
      <c r="J28" s="441">
        <f>J22/(J27*1000)</f>
        <v>5.5402782744747432E-6</v>
      </c>
      <c r="K28" s="441">
        <f>K22/(K27*1000)</f>
        <v>5.1015816134298985E-6</v>
      </c>
      <c r="L28" s="441">
        <f>L22/(L27*1000)</f>
        <v>4.5543852912084718E-6</v>
      </c>
      <c r="M28" s="441">
        <f>M22/(M27*1000)</f>
        <v>4.5674168246290606E-6</v>
      </c>
      <c r="N28" s="441">
        <f>N22/(N27*1000)</f>
        <v>5.3113761708308684E-6</v>
      </c>
    </row>
    <row r="29" spans="1:23" x14ac:dyDescent="0.25">
      <c r="A29" s="419"/>
      <c r="B29" s="419"/>
      <c r="C29" s="419"/>
      <c r="E29" s="442"/>
      <c r="F29" s="443"/>
      <c r="N29" s="444"/>
    </row>
    <row r="30" spans="1:23" ht="13" x14ac:dyDescent="0.3">
      <c r="A30" s="445" t="s">
        <v>323</v>
      </c>
      <c r="B30" s="414"/>
      <c r="C30" s="414"/>
      <c r="D30" s="414"/>
      <c r="N30" s="444"/>
    </row>
    <row r="31" spans="1:23" x14ac:dyDescent="0.25">
      <c r="A31" s="414" t="s">
        <v>324</v>
      </c>
      <c r="B31" s="415">
        <v>59418</v>
      </c>
      <c r="C31" s="415">
        <v>59418</v>
      </c>
      <c r="D31" s="446">
        <v>58829</v>
      </c>
      <c r="E31" s="447">
        <v>52394</v>
      </c>
      <c r="F31" s="447">
        <v>50238</v>
      </c>
      <c r="G31" s="447">
        <v>53848</v>
      </c>
      <c r="H31" s="447">
        <v>59014</v>
      </c>
      <c r="I31" s="447">
        <v>60280</v>
      </c>
      <c r="J31" s="447">
        <v>55212</v>
      </c>
      <c r="K31" s="447">
        <v>52113</v>
      </c>
      <c r="L31" s="416">
        <v>49309</v>
      </c>
      <c r="M31" s="405">
        <v>45826</v>
      </c>
      <c r="N31" s="417">
        <f>SUM(B31:M31)</f>
        <v>655899</v>
      </c>
    </row>
    <row r="32" spans="1:23" x14ac:dyDescent="0.25">
      <c r="A32" s="414" t="s">
        <v>325</v>
      </c>
      <c r="B32" s="415">
        <v>13641</v>
      </c>
      <c r="C32" s="415">
        <v>13641</v>
      </c>
      <c r="D32" s="446">
        <v>10607</v>
      </c>
      <c r="E32" s="447">
        <v>4663</v>
      </c>
      <c r="F32" s="447">
        <v>1935</v>
      </c>
      <c r="G32" s="447">
        <v>3501</v>
      </c>
      <c r="H32" s="447">
        <v>11783</v>
      </c>
      <c r="I32" s="447">
        <v>40287</v>
      </c>
      <c r="J32" s="447">
        <v>3668</v>
      </c>
      <c r="K32" s="447">
        <v>1929</v>
      </c>
      <c r="L32" s="416">
        <v>569</v>
      </c>
      <c r="M32" s="405">
        <v>451</v>
      </c>
      <c r="N32" s="417">
        <f>SUM(B32:M32)</f>
        <v>106675</v>
      </c>
    </row>
    <row r="33" spans="1:14" x14ac:dyDescent="0.25">
      <c r="A33" s="414" t="s">
        <v>326</v>
      </c>
      <c r="B33" s="415">
        <v>0</v>
      </c>
      <c r="C33" s="415">
        <v>0</v>
      </c>
      <c r="D33" s="446">
        <v>0</v>
      </c>
      <c r="E33" s="447">
        <v>0</v>
      </c>
      <c r="F33" s="447">
        <v>0</v>
      </c>
      <c r="G33" s="447">
        <v>0</v>
      </c>
      <c r="H33" s="447">
        <v>0</v>
      </c>
      <c r="I33" s="447">
        <v>0</v>
      </c>
      <c r="J33" s="447">
        <v>0</v>
      </c>
      <c r="K33" s="447">
        <v>0</v>
      </c>
      <c r="L33" s="416">
        <v>0</v>
      </c>
      <c r="M33" s="405">
        <v>0</v>
      </c>
      <c r="N33" s="417">
        <f>SUM(B33:M33)</f>
        <v>0</v>
      </c>
    </row>
    <row r="34" spans="1:14" x14ac:dyDescent="0.25">
      <c r="A34" s="414" t="s">
        <v>327</v>
      </c>
      <c r="B34" s="415">
        <f>SUM(B31:B33)</f>
        <v>73059</v>
      </c>
      <c r="C34" s="415">
        <f t="shared" ref="C34:J34" si="12">SUM(C31:C33)</f>
        <v>73059</v>
      </c>
      <c r="D34" s="446">
        <f t="shared" si="12"/>
        <v>69436</v>
      </c>
      <c r="E34" s="447">
        <f t="shared" si="12"/>
        <v>57057</v>
      </c>
      <c r="F34" s="447">
        <f>SUM(F31:F33)</f>
        <v>52173</v>
      </c>
      <c r="G34" s="447">
        <f>SUM(G31:G33)</f>
        <v>57349</v>
      </c>
      <c r="H34" s="447">
        <f>SUM(H31:H33)</f>
        <v>70797</v>
      </c>
      <c r="I34" s="447">
        <f t="shared" si="12"/>
        <v>100567</v>
      </c>
      <c r="J34" s="447">
        <f t="shared" si="12"/>
        <v>58880</v>
      </c>
      <c r="K34" s="447">
        <f>SUM(K31:K33)</f>
        <v>54042</v>
      </c>
      <c r="L34" s="416">
        <f>SUM(L31:L33)</f>
        <v>49878</v>
      </c>
      <c r="M34" s="416">
        <f>SUM(M31:M33)</f>
        <v>46277</v>
      </c>
      <c r="N34" s="417">
        <f>SUM(B34:M34)</f>
        <v>762574</v>
      </c>
    </row>
    <row r="35" spans="1:14" x14ac:dyDescent="0.25">
      <c r="A35" s="414" t="s">
        <v>328</v>
      </c>
      <c r="B35" s="448">
        <f>B34*0.0966</f>
        <v>7057.4994000000006</v>
      </c>
      <c r="C35" s="448">
        <f>C34*0.108</f>
        <v>7890.3720000000003</v>
      </c>
      <c r="D35" s="448">
        <f>D34*0.096</f>
        <v>6665.8559999999998</v>
      </c>
      <c r="E35" s="448">
        <f>E34*0.099</f>
        <v>5648.643</v>
      </c>
      <c r="F35" s="448">
        <f>F34*0.1</f>
        <v>5217.3</v>
      </c>
      <c r="G35" s="448">
        <f>G34*0.106</f>
        <v>6078.9939999999997</v>
      </c>
      <c r="H35" s="448">
        <f>H34*0.108</f>
        <v>7646.076</v>
      </c>
      <c r="I35" s="448">
        <f>I34*0.104</f>
        <v>10458.967999999999</v>
      </c>
      <c r="J35" s="448">
        <f>J34*0.1077</f>
        <v>6341.3760000000002</v>
      </c>
      <c r="K35" s="448">
        <f>K34*0.1106</f>
        <v>5977.0452000000005</v>
      </c>
      <c r="L35" s="448">
        <f>L34*0.103</f>
        <v>5137.4339999999993</v>
      </c>
      <c r="M35" s="448">
        <f>M34*0.103</f>
        <v>4766.5309999999999</v>
      </c>
      <c r="N35" s="417">
        <f>SUM(B35:M35)</f>
        <v>78886.094600000011</v>
      </c>
    </row>
    <row r="36" spans="1:14" ht="13" x14ac:dyDescent="0.3">
      <c r="D36" s="449"/>
      <c r="E36" s="450"/>
      <c r="F36" s="451"/>
      <c r="G36" s="451"/>
      <c r="H36" s="451"/>
      <c r="I36" s="451"/>
      <c r="J36" s="451"/>
      <c r="K36" s="451"/>
      <c r="N36" s="444"/>
    </row>
    <row r="37" spans="1:14" x14ac:dyDescent="0.25">
      <c r="A37" s="414" t="s">
        <v>329</v>
      </c>
      <c r="B37" s="403">
        <f>SUM(B35,B22)</f>
        <v>84994.859400000001</v>
      </c>
      <c r="C37" s="403">
        <f t="shared" ref="C37:K37" si="13">SUM(C35,C22)</f>
        <v>87368.082000000009</v>
      </c>
      <c r="D37" s="449">
        <f t="shared" si="13"/>
        <v>92579.285999999993</v>
      </c>
      <c r="E37" s="449">
        <f t="shared" si="13"/>
        <v>105908.533</v>
      </c>
      <c r="F37" s="449">
        <f t="shared" si="13"/>
        <v>129096.24</v>
      </c>
      <c r="G37" s="449">
        <f t="shared" si="13"/>
        <v>156644.59400000001</v>
      </c>
      <c r="H37" s="449">
        <f t="shared" si="13"/>
        <v>194535.33600000001</v>
      </c>
      <c r="I37" s="449">
        <f t="shared" si="13"/>
        <v>205563.11800000002</v>
      </c>
      <c r="J37" s="449">
        <f t="shared" si="13"/>
        <v>155064.606</v>
      </c>
      <c r="K37" s="449">
        <f t="shared" si="13"/>
        <v>127838.5252</v>
      </c>
      <c r="L37" s="449">
        <f>SUM(L35,L22)</f>
        <v>83413.653999999995</v>
      </c>
      <c r="M37" s="449">
        <f>SUM(M35,M22)</f>
        <v>74643.441000000006</v>
      </c>
      <c r="N37" s="423">
        <f>SUM(B37:M37)</f>
        <v>1497650.2746000001</v>
      </c>
    </row>
    <row r="38" spans="1:14" ht="13" x14ac:dyDescent="0.3">
      <c r="A38" s="414"/>
      <c r="B38" s="414"/>
      <c r="C38" s="414"/>
      <c r="F38" s="428"/>
      <c r="N38" s="444"/>
    </row>
    <row r="39" spans="1:14" x14ac:dyDescent="0.25">
      <c r="A39" s="403" t="s">
        <v>330</v>
      </c>
      <c r="B39" s="409" t="s">
        <v>291</v>
      </c>
      <c r="C39" s="409" t="s">
        <v>292</v>
      </c>
      <c r="D39" s="409" t="s">
        <v>293</v>
      </c>
      <c r="E39" s="410" t="s">
        <v>294</v>
      </c>
      <c r="F39" s="411" t="s">
        <v>295</v>
      </c>
      <c r="G39" s="411" t="s">
        <v>296</v>
      </c>
      <c r="H39" s="411" t="s">
        <v>297</v>
      </c>
      <c r="I39" s="411" t="s">
        <v>298</v>
      </c>
      <c r="J39" s="411" t="s">
        <v>299</v>
      </c>
      <c r="K39" s="411" t="s">
        <v>300</v>
      </c>
      <c r="L39" s="411" t="s">
        <v>301</v>
      </c>
      <c r="M39" s="411" t="s">
        <v>302</v>
      </c>
      <c r="N39" s="444"/>
    </row>
    <row r="40" spans="1:14" x14ac:dyDescent="0.25">
      <c r="A40" s="414" t="s">
        <v>331</v>
      </c>
      <c r="B40" s="452">
        <v>15750000</v>
      </c>
      <c r="C40" s="415">
        <v>15807000</v>
      </c>
      <c r="D40" s="415">
        <v>17287000</v>
      </c>
      <c r="E40" s="415">
        <v>21104000</v>
      </c>
      <c r="F40" s="415">
        <v>31263000</v>
      </c>
      <c r="G40" s="415">
        <v>41952000</v>
      </c>
      <c r="H40" s="415">
        <v>31303000</v>
      </c>
      <c r="I40" s="415">
        <v>40115000</v>
      </c>
      <c r="J40" s="415">
        <v>31741000</v>
      </c>
      <c r="K40" s="415">
        <v>23957000</v>
      </c>
      <c r="L40" s="415">
        <v>17619000</v>
      </c>
      <c r="M40" s="415">
        <v>23525000</v>
      </c>
      <c r="N40" s="444"/>
    </row>
    <row r="41" spans="1:14" x14ac:dyDescent="0.25">
      <c r="A41" s="453" t="s">
        <v>332</v>
      </c>
      <c r="B41" s="454">
        <v>12191000</v>
      </c>
      <c r="C41" s="455">
        <v>10568000</v>
      </c>
      <c r="D41" s="455">
        <v>17682000</v>
      </c>
      <c r="E41" s="455">
        <v>21034000</v>
      </c>
      <c r="F41" s="455">
        <v>21732000</v>
      </c>
      <c r="G41" s="455">
        <v>36116000</v>
      </c>
      <c r="H41" s="455">
        <v>42578000</v>
      </c>
      <c r="I41" s="455">
        <v>37917000</v>
      </c>
      <c r="J41" s="455">
        <v>37030000</v>
      </c>
      <c r="K41" s="455">
        <v>26709000</v>
      </c>
      <c r="L41" s="455">
        <v>17639000</v>
      </c>
      <c r="M41" s="456">
        <v>14386000</v>
      </c>
      <c r="N41" s="444"/>
    </row>
    <row r="42" spans="1:14" x14ac:dyDescent="0.25">
      <c r="A42" s="457" t="s">
        <v>333</v>
      </c>
      <c r="B42" s="454">
        <v>12738000</v>
      </c>
      <c r="C42" s="454">
        <v>13423000</v>
      </c>
      <c r="D42" s="438">
        <v>16651000</v>
      </c>
      <c r="E42" s="438">
        <v>20104000</v>
      </c>
      <c r="F42" s="438">
        <v>24475000</v>
      </c>
      <c r="G42" s="438">
        <v>29368000</v>
      </c>
      <c r="H42" s="438">
        <v>34475000</v>
      </c>
      <c r="I42" s="438">
        <v>32148600</v>
      </c>
      <c r="J42" s="438">
        <v>30678000</v>
      </c>
      <c r="K42" s="438">
        <v>23214000</v>
      </c>
      <c r="L42" s="438">
        <v>14746000</v>
      </c>
      <c r="M42" s="458">
        <v>14468000</v>
      </c>
      <c r="N42" s="444"/>
    </row>
    <row r="43" spans="1:14" x14ac:dyDescent="0.25">
      <c r="A43" s="414" t="s">
        <v>334</v>
      </c>
      <c r="B43" s="415">
        <v>18673000</v>
      </c>
      <c r="C43" s="415">
        <v>17534000</v>
      </c>
      <c r="D43" s="416">
        <v>20466000</v>
      </c>
      <c r="E43" s="416">
        <v>21442000</v>
      </c>
      <c r="F43" s="416">
        <v>22829000</v>
      </c>
      <c r="G43" s="416">
        <v>29350000</v>
      </c>
      <c r="H43" s="416">
        <v>31372000</v>
      </c>
      <c r="I43" s="416">
        <v>28044000</v>
      </c>
      <c r="J43" s="416">
        <v>22007000</v>
      </c>
      <c r="K43" s="416">
        <v>20810000</v>
      </c>
      <c r="L43" s="416">
        <v>14332000</v>
      </c>
      <c r="M43" s="416">
        <v>13151000</v>
      </c>
      <c r="N43" s="444"/>
    </row>
    <row r="44" spans="1:14" x14ac:dyDescent="0.25">
      <c r="A44" s="414" t="s">
        <v>335</v>
      </c>
      <c r="B44" s="415">
        <v>21522000</v>
      </c>
      <c r="C44" s="415">
        <v>20994000</v>
      </c>
      <c r="D44" s="416">
        <v>22005000</v>
      </c>
      <c r="E44" s="416">
        <v>22754000</v>
      </c>
      <c r="F44" s="416">
        <v>24208000</v>
      </c>
      <c r="G44" s="416">
        <v>31848000</v>
      </c>
      <c r="H44" s="416">
        <v>36034000</v>
      </c>
      <c r="I44" s="416">
        <v>30336000</v>
      </c>
      <c r="J44" s="416">
        <v>29692300</v>
      </c>
      <c r="K44" s="416">
        <v>22278000</v>
      </c>
      <c r="L44" s="416">
        <v>15679000</v>
      </c>
      <c r="M44" s="416">
        <v>18113000</v>
      </c>
      <c r="N44" s="444"/>
    </row>
    <row r="45" spans="1:14" x14ac:dyDescent="0.25">
      <c r="A45" s="414" t="s">
        <v>336</v>
      </c>
      <c r="B45" s="415">
        <v>22940000</v>
      </c>
      <c r="C45" s="415">
        <v>22813000</v>
      </c>
      <c r="D45" s="416">
        <v>24244000</v>
      </c>
      <c r="E45" s="416">
        <v>23065000</v>
      </c>
      <c r="F45" s="416">
        <v>23476000</v>
      </c>
      <c r="G45" s="416">
        <v>29577000</v>
      </c>
      <c r="H45" s="416">
        <v>29669000</v>
      </c>
      <c r="I45" s="416">
        <v>27403300</v>
      </c>
      <c r="J45" s="416">
        <v>25159000</v>
      </c>
      <c r="K45" s="416">
        <v>18573000</v>
      </c>
      <c r="L45" s="416">
        <v>16473000</v>
      </c>
      <c r="M45" s="416">
        <v>18907000</v>
      </c>
      <c r="N45" s="444"/>
    </row>
    <row r="46" spans="1:14" x14ac:dyDescent="0.25">
      <c r="A46" s="414"/>
      <c r="B46" s="415"/>
      <c r="C46" s="415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44"/>
    </row>
    <row r="47" spans="1:14" x14ac:dyDescent="0.25">
      <c r="A47" s="403" t="s">
        <v>337</v>
      </c>
      <c r="B47" s="416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44"/>
    </row>
    <row r="48" spans="1:14" x14ac:dyDescent="0.25">
      <c r="A48" s="414" t="s">
        <v>331</v>
      </c>
      <c r="B48" s="416">
        <v>15750</v>
      </c>
      <c r="C48" s="416">
        <v>15807</v>
      </c>
      <c r="D48" s="416">
        <v>17287</v>
      </c>
      <c r="E48" s="416">
        <v>21104</v>
      </c>
      <c r="F48" s="416">
        <v>31263</v>
      </c>
      <c r="G48" s="416">
        <v>41952</v>
      </c>
      <c r="H48" s="416">
        <v>31303</v>
      </c>
      <c r="I48" s="416">
        <v>40115</v>
      </c>
      <c r="J48" s="416">
        <v>31741</v>
      </c>
      <c r="K48" s="416">
        <v>23957</v>
      </c>
      <c r="L48" s="416">
        <v>17619</v>
      </c>
      <c r="M48" s="416"/>
      <c r="N48" s="444"/>
    </row>
    <row r="49" spans="1:14" x14ac:dyDescent="0.25">
      <c r="A49" s="453" t="s">
        <v>332</v>
      </c>
      <c r="B49" s="459">
        <v>12191</v>
      </c>
      <c r="C49" s="459">
        <v>10568</v>
      </c>
      <c r="D49" s="459">
        <v>17682</v>
      </c>
      <c r="E49" s="459">
        <v>21034</v>
      </c>
      <c r="F49" s="459">
        <v>21732</v>
      </c>
      <c r="G49" s="459">
        <v>36116</v>
      </c>
      <c r="H49" s="459">
        <v>42578</v>
      </c>
      <c r="I49" s="459">
        <v>37917</v>
      </c>
      <c r="J49" s="459">
        <v>37030</v>
      </c>
      <c r="K49" s="459">
        <v>26709</v>
      </c>
      <c r="L49" s="459">
        <v>17639</v>
      </c>
      <c r="M49" s="460">
        <v>14386</v>
      </c>
      <c r="N49" s="444"/>
    </row>
    <row r="50" spans="1:14" x14ac:dyDescent="0.25">
      <c r="A50" s="457" t="s">
        <v>333</v>
      </c>
      <c r="B50" s="454">
        <v>12738</v>
      </c>
      <c r="C50" s="454">
        <v>13423</v>
      </c>
      <c r="D50" s="438">
        <f>D42/1000</f>
        <v>16651</v>
      </c>
      <c r="E50" s="438">
        <f>E42/1000</f>
        <v>20104</v>
      </c>
      <c r="F50" s="438">
        <f>F42/1000</f>
        <v>24475</v>
      </c>
      <c r="G50" s="438">
        <f>G42/1000</f>
        <v>29368</v>
      </c>
      <c r="H50" s="438">
        <v>34475</v>
      </c>
      <c r="I50" s="438">
        <v>32149</v>
      </c>
      <c r="J50" s="438">
        <v>30678</v>
      </c>
      <c r="K50" s="438">
        <v>23214</v>
      </c>
      <c r="L50" s="438">
        <v>14746</v>
      </c>
      <c r="M50" s="458">
        <v>14468</v>
      </c>
      <c r="N50" s="444"/>
    </row>
    <row r="51" spans="1:14" x14ac:dyDescent="0.25">
      <c r="A51" s="414" t="s">
        <v>334</v>
      </c>
      <c r="B51" s="415">
        <v>18673</v>
      </c>
      <c r="C51" s="415">
        <v>17534</v>
      </c>
      <c r="D51" s="416">
        <f t="shared" ref="D51:G53" si="14">D43/1000</f>
        <v>20466</v>
      </c>
      <c r="E51" s="416">
        <f t="shared" si="14"/>
        <v>21442</v>
      </c>
      <c r="F51" s="416">
        <f t="shared" si="14"/>
        <v>22829</v>
      </c>
      <c r="G51" s="416">
        <f t="shared" si="14"/>
        <v>29350</v>
      </c>
      <c r="H51" s="416">
        <v>31372</v>
      </c>
      <c r="I51" s="416">
        <v>28044</v>
      </c>
      <c r="J51" s="416">
        <v>22007</v>
      </c>
      <c r="K51" s="416">
        <v>20810</v>
      </c>
      <c r="L51" s="416">
        <v>14332</v>
      </c>
      <c r="M51" s="416">
        <v>13151</v>
      </c>
      <c r="N51" s="444"/>
    </row>
    <row r="52" spans="1:14" x14ac:dyDescent="0.25">
      <c r="A52" s="414" t="s">
        <v>335</v>
      </c>
      <c r="B52" s="415">
        <v>21522</v>
      </c>
      <c r="C52" s="415">
        <v>20994</v>
      </c>
      <c r="D52" s="416">
        <f t="shared" si="14"/>
        <v>22005</v>
      </c>
      <c r="E52" s="416">
        <f t="shared" si="14"/>
        <v>22754</v>
      </c>
      <c r="F52" s="416">
        <f t="shared" si="14"/>
        <v>24208</v>
      </c>
      <c r="G52" s="416">
        <f t="shared" si="14"/>
        <v>31848</v>
      </c>
      <c r="H52" s="416">
        <v>36034</v>
      </c>
      <c r="I52" s="416">
        <v>30336</v>
      </c>
      <c r="J52" s="416">
        <v>29692</v>
      </c>
      <c r="K52" s="416">
        <v>22278</v>
      </c>
      <c r="L52" s="416">
        <v>15679</v>
      </c>
      <c r="M52" s="416">
        <v>18113</v>
      </c>
      <c r="N52" s="444"/>
    </row>
    <row r="53" spans="1:14" x14ac:dyDescent="0.25">
      <c r="A53" s="414" t="s">
        <v>336</v>
      </c>
      <c r="B53" s="415">
        <v>22940</v>
      </c>
      <c r="C53" s="415">
        <v>22813</v>
      </c>
      <c r="D53" s="416">
        <f t="shared" si="14"/>
        <v>24244</v>
      </c>
      <c r="E53" s="416">
        <f t="shared" si="14"/>
        <v>23065</v>
      </c>
      <c r="F53" s="416">
        <f t="shared" si="14"/>
        <v>23476</v>
      </c>
      <c r="G53" s="416">
        <f t="shared" si="14"/>
        <v>29577</v>
      </c>
      <c r="H53" s="416">
        <v>29669</v>
      </c>
      <c r="I53" s="416">
        <v>27403</v>
      </c>
      <c r="J53" s="416">
        <v>25159</v>
      </c>
      <c r="K53" s="416">
        <v>18573</v>
      </c>
      <c r="L53" s="416">
        <v>16473</v>
      </c>
      <c r="M53" s="416">
        <v>18907</v>
      </c>
      <c r="N53" s="444"/>
    </row>
    <row r="54" spans="1:14" x14ac:dyDescent="0.25">
      <c r="A54" s="414"/>
      <c r="B54" s="415"/>
      <c r="C54" s="415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44"/>
    </row>
    <row r="55" spans="1:14" x14ac:dyDescent="0.25">
      <c r="A55" s="403" t="s">
        <v>338</v>
      </c>
      <c r="B55" s="416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44"/>
    </row>
    <row r="56" spans="1:14" x14ac:dyDescent="0.25">
      <c r="A56" s="414" t="s">
        <v>331</v>
      </c>
      <c r="B56" s="416">
        <v>-1249</v>
      </c>
      <c r="C56" s="416">
        <v>151915</v>
      </c>
      <c r="D56" s="416">
        <v>15216</v>
      </c>
      <c r="E56" s="416">
        <v>-162322</v>
      </c>
      <c r="F56" s="416">
        <v>-165880</v>
      </c>
      <c r="G56" s="416">
        <v>-63087</v>
      </c>
      <c r="H56" s="416">
        <v>94926</v>
      </c>
      <c r="I56" s="416">
        <v>79866</v>
      </c>
      <c r="J56" s="416">
        <v>86099</v>
      </c>
      <c r="K56" s="416">
        <v>83594</v>
      </c>
      <c r="L56" s="416">
        <v>63258</v>
      </c>
      <c r="M56" s="416">
        <v>61461</v>
      </c>
      <c r="N56" s="444"/>
    </row>
    <row r="57" spans="1:14" x14ac:dyDescent="0.25">
      <c r="A57" s="453" t="s">
        <v>332</v>
      </c>
      <c r="B57" s="459">
        <v>55521</v>
      </c>
      <c r="C57" s="459">
        <v>64935</v>
      </c>
      <c r="D57" s="459">
        <v>62881</v>
      </c>
      <c r="E57" s="459">
        <v>100058</v>
      </c>
      <c r="F57" s="459">
        <v>129754</v>
      </c>
      <c r="G57" s="459">
        <v>-4461</v>
      </c>
      <c r="H57" s="459">
        <v>-101071</v>
      </c>
      <c r="I57" s="459">
        <v>-38766</v>
      </c>
      <c r="J57" s="459">
        <v>-27661</v>
      </c>
      <c r="K57" s="459">
        <v>25296</v>
      </c>
      <c r="L57" s="459">
        <v>120633</v>
      </c>
      <c r="M57" s="460">
        <v>43891</v>
      </c>
      <c r="N57" s="417"/>
    </row>
    <row r="58" spans="1:14" x14ac:dyDescent="0.25">
      <c r="A58" s="457" t="s">
        <v>333</v>
      </c>
      <c r="B58" s="454">
        <v>80101</v>
      </c>
      <c r="C58" s="454">
        <v>33949</v>
      </c>
      <c r="D58" s="438">
        <v>77742</v>
      </c>
      <c r="E58" s="438">
        <v>42762</v>
      </c>
      <c r="F58" s="438">
        <v>51581</v>
      </c>
      <c r="G58" s="438">
        <v>58691</v>
      </c>
      <c r="H58" s="438">
        <v>54636</v>
      </c>
      <c r="I58" s="438">
        <v>48150</v>
      </c>
      <c r="J58" s="438">
        <v>56071</v>
      </c>
      <c r="K58" s="438">
        <v>53726</v>
      </c>
      <c r="L58" s="438">
        <v>44739</v>
      </c>
      <c r="M58" s="458">
        <v>46238</v>
      </c>
      <c r="N58" s="444"/>
    </row>
    <row r="59" spans="1:14" x14ac:dyDescent="0.25">
      <c r="A59" s="414" t="s">
        <v>334</v>
      </c>
      <c r="B59" s="415">
        <v>49850</v>
      </c>
      <c r="C59" s="415">
        <v>48364</v>
      </c>
      <c r="D59" s="416">
        <v>47057</v>
      </c>
      <c r="E59" s="416">
        <v>46629</v>
      </c>
      <c r="F59" s="416">
        <v>50753</v>
      </c>
      <c r="G59" s="416">
        <v>55310</v>
      </c>
      <c r="H59" s="405">
        <v>55721</v>
      </c>
      <c r="I59" s="416">
        <v>53659</v>
      </c>
      <c r="J59" s="416">
        <v>45363</v>
      </c>
      <c r="K59" s="416">
        <v>44507</v>
      </c>
      <c r="L59" s="416">
        <v>40579</v>
      </c>
      <c r="M59" s="416">
        <v>37774</v>
      </c>
      <c r="N59" s="444"/>
    </row>
    <row r="60" spans="1:14" x14ac:dyDescent="0.25">
      <c r="A60" s="414" t="s">
        <v>335</v>
      </c>
      <c r="B60" s="415">
        <v>44526</v>
      </c>
      <c r="C60" s="415">
        <v>45219</v>
      </c>
      <c r="D60" s="416">
        <v>43950</v>
      </c>
      <c r="E60" s="416">
        <v>46353</v>
      </c>
      <c r="F60" s="416">
        <v>52413</v>
      </c>
      <c r="G60" s="416">
        <v>54249</v>
      </c>
      <c r="H60" s="405">
        <v>60400</v>
      </c>
      <c r="I60" s="416">
        <v>53477</v>
      </c>
      <c r="J60" s="416">
        <v>55136</v>
      </c>
      <c r="K60" s="416">
        <v>45788</v>
      </c>
      <c r="L60" s="416">
        <v>45832</v>
      </c>
      <c r="M60" s="416">
        <v>45161</v>
      </c>
      <c r="N60" s="444"/>
    </row>
    <row r="61" spans="1:14" ht="13" x14ac:dyDescent="0.3">
      <c r="A61" s="414" t="s">
        <v>336</v>
      </c>
      <c r="B61" s="415">
        <v>46529</v>
      </c>
      <c r="C61" s="415">
        <v>44132</v>
      </c>
      <c r="D61" s="416">
        <v>43548</v>
      </c>
      <c r="E61" s="416">
        <v>51463</v>
      </c>
      <c r="F61" s="416">
        <v>39890</v>
      </c>
      <c r="G61" s="416">
        <v>49754</v>
      </c>
      <c r="H61" s="428">
        <v>49754</v>
      </c>
      <c r="I61" s="416">
        <v>51287</v>
      </c>
      <c r="J61" s="416">
        <v>51906</v>
      </c>
      <c r="K61" s="416">
        <v>47887</v>
      </c>
      <c r="L61" s="416">
        <v>46104</v>
      </c>
      <c r="M61" s="416">
        <v>42606</v>
      </c>
      <c r="N61" s="444"/>
    </row>
    <row r="62" spans="1:14" ht="13" x14ac:dyDescent="0.3">
      <c r="A62" s="414"/>
      <c r="B62" s="415"/>
      <c r="C62" s="415"/>
      <c r="D62" s="416"/>
      <c r="E62" s="416"/>
      <c r="F62" s="416"/>
      <c r="G62" s="416"/>
      <c r="H62" s="428"/>
      <c r="I62" s="416"/>
      <c r="J62" s="416"/>
      <c r="K62" s="416"/>
      <c r="L62" s="416"/>
      <c r="M62" s="416"/>
      <c r="N62" s="444"/>
    </row>
    <row r="63" spans="1:14" x14ac:dyDescent="0.25">
      <c r="A63" s="403" t="s">
        <v>316</v>
      </c>
      <c r="N63" s="444"/>
    </row>
    <row r="64" spans="1:14" x14ac:dyDescent="0.25">
      <c r="A64" s="414" t="s">
        <v>331</v>
      </c>
      <c r="B64" s="403">
        <v>86203.93</v>
      </c>
      <c r="C64" s="403">
        <v>100018.8</v>
      </c>
      <c r="D64" s="403">
        <v>109438.20999999999</v>
      </c>
      <c r="E64" s="403">
        <v>154513.56</v>
      </c>
      <c r="F64" s="403">
        <v>232885.8</v>
      </c>
      <c r="G64" s="403">
        <v>261203.27000000002</v>
      </c>
      <c r="H64" s="403">
        <v>255609.18</v>
      </c>
      <c r="I64" s="403">
        <v>268470.11</v>
      </c>
      <c r="J64" s="403">
        <v>200850.37</v>
      </c>
      <c r="K64" s="403">
        <v>136671.51</v>
      </c>
      <c r="L64" s="403">
        <v>102397.82</v>
      </c>
      <c r="M64" s="403">
        <v>95818.58</v>
      </c>
      <c r="N64" s="444"/>
    </row>
    <row r="65" spans="1:14" x14ac:dyDescent="0.25">
      <c r="A65" s="453" t="s">
        <v>332</v>
      </c>
      <c r="B65" s="461">
        <v>77534.720000000001</v>
      </c>
      <c r="C65" s="461">
        <v>94790.66</v>
      </c>
      <c r="D65" s="461">
        <v>135119.34</v>
      </c>
      <c r="E65" s="461">
        <v>146868.44</v>
      </c>
      <c r="F65" s="461">
        <v>208918.3</v>
      </c>
      <c r="G65" s="461">
        <v>268646.96999999997</v>
      </c>
      <c r="H65" s="461">
        <v>372499.66</v>
      </c>
      <c r="I65" s="461">
        <v>559437.29</v>
      </c>
      <c r="J65" s="461">
        <v>568596.49</v>
      </c>
      <c r="K65" s="461">
        <v>222174.98</v>
      </c>
      <c r="L65" s="461">
        <v>131778.51</v>
      </c>
      <c r="M65" s="462">
        <v>101431.48999999999</v>
      </c>
      <c r="N65" s="444"/>
    </row>
    <row r="66" spans="1:14" x14ac:dyDescent="0.25">
      <c r="A66" s="457" t="s">
        <v>333</v>
      </c>
      <c r="B66" s="457">
        <v>111573.36</v>
      </c>
      <c r="C66" s="457">
        <v>118212.69</v>
      </c>
      <c r="D66" s="463">
        <v>138211.57</v>
      </c>
      <c r="E66" s="463">
        <v>153507.92000000001</v>
      </c>
      <c r="F66" s="463">
        <v>187792.51</v>
      </c>
      <c r="G66" s="463">
        <v>243320.24</v>
      </c>
      <c r="H66" s="463">
        <v>284104.28999999998</v>
      </c>
      <c r="I66" s="463">
        <v>253680</v>
      </c>
      <c r="J66" s="463">
        <v>252457.05</v>
      </c>
      <c r="K66" s="463">
        <v>143739.59</v>
      </c>
      <c r="L66" s="463">
        <v>100979.67</v>
      </c>
      <c r="M66" s="464">
        <v>88183.31</v>
      </c>
      <c r="N66" s="444"/>
    </row>
    <row r="67" spans="1:14" x14ac:dyDescent="0.25">
      <c r="A67" s="414" t="s">
        <v>334</v>
      </c>
      <c r="B67" s="414">
        <v>133945.01</v>
      </c>
      <c r="C67" s="414">
        <v>132381.85999999999</v>
      </c>
      <c r="D67" s="403">
        <v>145923</v>
      </c>
      <c r="E67" s="403">
        <v>157531.38</v>
      </c>
      <c r="F67" s="403">
        <v>184296.39</v>
      </c>
      <c r="G67" s="403">
        <v>239336.8</v>
      </c>
      <c r="H67" s="403">
        <v>255881.34</v>
      </c>
      <c r="I67" s="403">
        <v>230222.72</v>
      </c>
      <c r="J67" s="403">
        <v>210132.59</v>
      </c>
      <c r="K67" s="403">
        <v>142024.79999999999</v>
      </c>
      <c r="L67" s="403">
        <v>116962.09</v>
      </c>
      <c r="M67" s="403">
        <v>115672.23</v>
      </c>
      <c r="N67" s="444"/>
    </row>
    <row r="68" spans="1:14" x14ac:dyDescent="0.25">
      <c r="A68" s="414" t="s">
        <v>335</v>
      </c>
      <c r="B68" s="414">
        <v>160153.53</v>
      </c>
      <c r="C68" s="414">
        <v>169907.13</v>
      </c>
      <c r="D68" s="403">
        <v>179291.61</v>
      </c>
      <c r="E68" s="403">
        <v>190239.75</v>
      </c>
      <c r="F68" s="403">
        <v>231014.23</v>
      </c>
      <c r="G68" s="403">
        <v>287952.2</v>
      </c>
      <c r="H68" s="403">
        <v>341454.56</v>
      </c>
      <c r="I68" s="403">
        <v>285240.65999999997</v>
      </c>
      <c r="J68" s="403">
        <v>280421.62</v>
      </c>
      <c r="K68" s="403">
        <v>193491.17</v>
      </c>
      <c r="L68" s="403">
        <v>144669.24</v>
      </c>
      <c r="M68" s="403">
        <v>160304.72</v>
      </c>
      <c r="N68" s="444"/>
    </row>
    <row r="69" spans="1:14" x14ac:dyDescent="0.25">
      <c r="A69" s="414" t="s">
        <v>336</v>
      </c>
      <c r="B69" s="414">
        <v>194488.07</v>
      </c>
      <c r="C69" s="414">
        <v>207897.39</v>
      </c>
      <c r="D69" s="403">
        <v>220065.95</v>
      </c>
      <c r="E69" s="403">
        <v>238262.09</v>
      </c>
      <c r="F69" s="403">
        <v>257506.63</v>
      </c>
      <c r="G69" s="403">
        <v>361045.83</v>
      </c>
      <c r="H69" s="403">
        <v>364172.91</v>
      </c>
      <c r="I69" s="403">
        <v>317786.89</v>
      </c>
      <c r="J69" s="403">
        <v>274872.56</v>
      </c>
      <c r="K69" s="403">
        <v>184635.09</v>
      </c>
      <c r="L69" s="403">
        <v>161359.19</v>
      </c>
      <c r="M69" s="403">
        <v>187824.12</v>
      </c>
      <c r="N69" s="444"/>
    </row>
    <row r="74" spans="1:14" x14ac:dyDescent="0.25">
      <c r="B74" s="465"/>
      <c r="C74" s="465"/>
    </row>
    <row r="75" spans="1:14" x14ac:dyDescent="0.25">
      <c r="B75" s="416"/>
      <c r="C75" s="416"/>
      <c r="D75" s="466"/>
    </row>
    <row r="76" spans="1:14" x14ac:dyDescent="0.25">
      <c r="B76" s="416"/>
      <c r="C76" s="416"/>
    </row>
    <row r="77" spans="1:14" x14ac:dyDescent="0.25">
      <c r="B77" s="416"/>
      <c r="C77" s="416"/>
    </row>
    <row r="78" spans="1:14" x14ac:dyDescent="0.25">
      <c r="B78" s="416"/>
      <c r="C78" s="416"/>
    </row>
    <row r="79" spans="1:14" x14ac:dyDescent="0.25">
      <c r="B79" s="416"/>
      <c r="C79" s="416"/>
    </row>
    <row r="80" spans="1:14" x14ac:dyDescent="0.25">
      <c r="B80" s="416"/>
      <c r="C80" s="416"/>
    </row>
    <row r="81" spans="2:23" x14ac:dyDescent="0.25">
      <c r="B81" s="416"/>
      <c r="C81" s="416"/>
    </row>
    <row r="82" spans="2:23" x14ac:dyDescent="0.25">
      <c r="B82" s="416"/>
      <c r="C82" s="416"/>
    </row>
    <row r="83" spans="2:23" x14ac:dyDescent="0.25">
      <c r="B83" s="416"/>
      <c r="C83" s="416"/>
    </row>
    <row r="84" spans="2:23" x14ac:dyDescent="0.25">
      <c r="B84" s="416"/>
      <c r="C84" s="416"/>
    </row>
    <row r="85" spans="2:23" s="403" customFormat="1" x14ac:dyDescent="0.25">
      <c r="B85" s="416"/>
      <c r="C85" s="416"/>
      <c r="E85" s="404"/>
      <c r="F85" s="405"/>
      <c r="G85" s="405"/>
      <c r="H85" s="405"/>
      <c r="I85" s="405"/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</row>
    <row r="86" spans="2:23" s="403" customFormat="1" x14ac:dyDescent="0.25">
      <c r="B86" s="416"/>
      <c r="C86" s="416"/>
      <c r="E86" s="404"/>
      <c r="F86" s="405"/>
      <c r="G86" s="405"/>
      <c r="H86" s="405"/>
      <c r="I86" s="405"/>
      <c r="J86" s="405"/>
      <c r="K86" s="405"/>
      <c r="L86" s="405"/>
      <c r="M86" s="405"/>
      <c r="N86" s="405"/>
      <c r="O86" s="405"/>
      <c r="P86" s="405"/>
      <c r="Q86" s="405"/>
      <c r="R86" s="405"/>
      <c r="S86" s="405"/>
      <c r="T86" s="405"/>
      <c r="U86" s="405"/>
      <c r="V86" s="405"/>
      <c r="W86" s="405"/>
    </row>
    <row r="87" spans="2:23" s="403" customFormat="1" x14ac:dyDescent="0.25">
      <c r="B87" s="416"/>
      <c r="C87" s="416"/>
      <c r="E87" s="404"/>
      <c r="F87" s="405"/>
      <c r="G87" s="405"/>
      <c r="H87" s="405"/>
      <c r="I87" s="405"/>
      <c r="J87" s="405"/>
      <c r="K87" s="405"/>
      <c r="L87" s="405"/>
      <c r="M87" s="405"/>
      <c r="N87" s="405"/>
      <c r="O87" s="405"/>
      <c r="P87" s="405"/>
      <c r="Q87" s="405"/>
      <c r="R87" s="405"/>
      <c r="S87" s="405"/>
      <c r="T87" s="405"/>
      <c r="U87" s="405"/>
      <c r="V87" s="405"/>
      <c r="W87" s="405"/>
    </row>
    <row r="88" spans="2:23" s="403" customFormat="1" x14ac:dyDescent="0.25">
      <c r="B88" s="416"/>
      <c r="C88" s="416"/>
      <c r="E88" s="404"/>
      <c r="F88" s="405"/>
      <c r="G88" s="405"/>
      <c r="H88" s="405"/>
      <c r="I88" s="405"/>
      <c r="J88" s="405"/>
      <c r="K88" s="405"/>
      <c r="L88" s="405"/>
      <c r="M88" s="405"/>
      <c r="N88" s="405"/>
      <c r="O88" s="405"/>
      <c r="P88" s="405"/>
      <c r="Q88" s="405"/>
      <c r="R88" s="405"/>
      <c r="S88" s="405"/>
      <c r="T88" s="405"/>
      <c r="U88" s="405"/>
      <c r="V88" s="405"/>
      <c r="W88" s="405"/>
    </row>
    <row r="89" spans="2:23" s="403" customFormat="1" x14ac:dyDescent="0.25">
      <c r="B89" s="416"/>
      <c r="C89" s="403">
        <v>132872.84</v>
      </c>
      <c r="E89" s="404"/>
      <c r="F89" s="405"/>
      <c r="G89" s="405"/>
      <c r="H89" s="405"/>
      <c r="I89" s="405"/>
      <c r="J89" s="405"/>
      <c r="K89" s="405"/>
      <c r="L89" s="405"/>
      <c r="M89" s="405"/>
      <c r="N89" s="405"/>
      <c r="O89" s="405"/>
      <c r="P89" s="405"/>
      <c r="Q89" s="405"/>
      <c r="R89" s="405"/>
      <c r="S89" s="405"/>
      <c r="T89" s="405"/>
      <c r="U89" s="405"/>
      <c r="V89" s="405"/>
      <c r="W89" s="405"/>
    </row>
    <row r="90" spans="2:23" s="403" customFormat="1" x14ac:dyDescent="0.25">
      <c r="B90" s="416"/>
      <c r="C90" s="403">
        <v>35642</v>
      </c>
      <c r="E90" s="404"/>
      <c r="F90" s="405"/>
      <c r="G90" s="405"/>
      <c r="H90" s="405"/>
      <c r="I90" s="405"/>
      <c r="J90" s="405"/>
      <c r="K90" s="405"/>
      <c r="L90" s="405"/>
      <c r="M90" s="405"/>
      <c r="N90" s="405"/>
      <c r="O90" s="405"/>
      <c r="P90" s="405"/>
      <c r="Q90" s="405"/>
      <c r="R90" s="405"/>
      <c r="S90" s="405"/>
      <c r="T90" s="405"/>
      <c r="U90" s="405"/>
      <c r="V90" s="405"/>
      <c r="W90" s="405"/>
    </row>
    <row r="91" spans="2:23" s="403" customFormat="1" x14ac:dyDescent="0.25">
      <c r="B91" s="416"/>
      <c r="C91" s="403">
        <v>1363122.98</v>
      </c>
      <c r="E91" s="404"/>
      <c r="F91" s="405"/>
      <c r="G91" s="405"/>
      <c r="H91" s="405"/>
      <c r="I91" s="405"/>
      <c r="J91" s="405"/>
      <c r="K91" s="405"/>
      <c r="L91" s="405"/>
      <c r="M91" s="405"/>
      <c r="N91" s="405"/>
      <c r="O91" s="405"/>
      <c r="P91" s="405"/>
      <c r="Q91" s="405"/>
      <c r="R91" s="405"/>
      <c r="S91" s="405"/>
      <c r="T91" s="405"/>
      <c r="U91" s="405"/>
      <c r="V91" s="405"/>
      <c r="W91" s="405"/>
    </row>
    <row r="92" spans="2:23" s="403" customFormat="1" x14ac:dyDescent="0.25">
      <c r="B92" s="416"/>
      <c r="C92" s="403">
        <v>3517733.74</v>
      </c>
      <c r="E92" s="404"/>
      <c r="F92" s="405"/>
      <c r="G92" s="405"/>
      <c r="H92" s="405"/>
      <c r="I92" s="405"/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</row>
    <row r="93" spans="2:23" s="403" customFormat="1" x14ac:dyDescent="0.25">
      <c r="B93" s="416"/>
      <c r="C93" s="403">
        <v>991979.52000000002</v>
      </c>
      <c r="E93" s="404"/>
      <c r="F93" s="405"/>
      <c r="G93" s="405"/>
      <c r="H93" s="405"/>
      <c r="I93" s="405"/>
      <c r="J93" s="405"/>
      <c r="K93" s="405"/>
      <c r="L93" s="405"/>
      <c r="M93" s="405"/>
      <c r="N93" s="405"/>
      <c r="O93" s="405"/>
      <c r="P93" s="405"/>
      <c r="Q93" s="405"/>
      <c r="R93" s="405"/>
      <c r="S93" s="405"/>
      <c r="T93" s="405"/>
      <c r="U93" s="405"/>
      <c r="V93" s="405"/>
      <c r="W93" s="405"/>
    </row>
    <row r="94" spans="2:23" s="403" customFormat="1" x14ac:dyDescent="0.25">
      <c r="B94" s="416"/>
      <c r="E94" s="404"/>
      <c r="F94" s="405"/>
      <c r="G94" s="405"/>
      <c r="H94" s="405"/>
      <c r="I94" s="405"/>
      <c r="J94" s="405"/>
      <c r="K94" s="405"/>
      <c r="L94" s="405"/>
      <c r="M94" s="405"/>
      <c r="N94" s="405"/>
      <c r="O94" s="405"/>
      <c r="P94" s="405"/>
      <c r="Q94" s="405"/>
      <c r="R94" s="405"/>
      <c r="S94" s="405"/>
      <c r="T94" s="405"/>
      <c r="U94" s="405"/>
      <c r="V94" s="405"/>
      <c r="W94" s="405"/>
    </row>
    <row r="95" spans="2:23" x14ac:dyDescent="0.25">
      <c r="C95" s="403">
        <f>SUM(C89:C94)</f>
        <v>6041351.0800000001</v>
      </c>
    </row>
  </sheetData>
  <pageMargins left="0.25" right="0.25" top="0.75" bottom="0.75" header="0.3" footer="0.3"/>
  <pageSetup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workbookViewId="0">
      <selection activeCell="Q5" sqref="Q5"/>
    </sheetView>
  </sheetViews>
  <sheetFormatPr defaultColWidth="9.1796875" defaultRowHeight="12.5" x14ac:dyDescent="0.25"/>
  <cols>
    <col min="1" max="1" width="31.54296875" style="403" customWidth="1"/>
    <col min="2" max="4" width="18.453125" style="403" customWidth="1"/>
    <col min="5" max="5" width="18.453125" style="404" customWidth="1"/>
    <col min="6" max="6" width="13.453125" style="405" customWidth="1"/>
    <col min="7" max="7" width="16.81640625" style="405" customWidth="1"/>
    <col min="8" max="8" width="16.1796875" style="405" customWidth="1"/>
    <col min="9" max="9" width="14.1796875" style="405" customWidth="1"/>
    <col min="10" max="11" width="15.1796875" style="405" customWidth="1"/>
    <col min="12" max="12" width="13.1796875" style="405" customWidth="1"/>
    <col min="13" max="13" width="13.54296875" style="405" customWidth="1"/>
    <col min="14" max="14" width="16" style="405" customWidth="1"/>
    <col min="15" max="19" width="9.1796875" style="405"/>
    <col min="20" max="20" width="25.81640625" style="405" customWidth="1"/>
    <col min="21" max="21" width="9" style="405" customWidth="1"/>
    <col min="22" max="22" width="13.1796875" style="405" bestFit="1" customWidth="1"/>
    <col min="23" max="16384" width="9.1796875" style="405"/>
  </cols>
  <sheetData>
    <row r="1" spans="1:23" ht="20" x14ac:dyDescent="0.4">
      <c r="A1" s="407" t="s">
        <v>289</v>
      </c>
    </row>
    <row r="2" spans="1:23" x14ac:dyDescent="0.25">
      <c r="B2" s="409" t="s">
        <v>291</v>
      </c>
      <c r="C2" s="409" t="s">
        <v>292</v>
      </c>
      <c r="D2" s="409" t="s">
        <v>293</v>
      </c>
      <c r="E2" s="410" t="s">
        <v>294</v>
      </c>
      <c r="F2" s="411" t="s">
        <v>295</v>
      </c>
      <c r="G2" s="411" t="s">
        <v>296</v>
      </c>
      <c r="H2" s="411" t="s">
        <v>297</v>
      </c>
      <c r="I2" s="411" t="s">
        <v>298</v>
      </c>
      <c r="J2" s="411" t="s">
        <v>299</v>
      </c>
      <c r="K2" s="411" t="s">
        <v>300</v>
      </c>
      <c r="L2" s="411" t="s">
        <v>301</v>
      </c>
      <c r="M2" s="411" t="s">
        <v>302</v>
      </c>
      <c r="N2" s="411" t="s">
        <v>57</v>
      </c>
    </row>
    <row r="3" spans="1:23" ht="18.5" x14ac:dyDescent="0.55000000000000004">
      <c r="A3" s="414" t="s">
        <v>304</v>
      </c>
      <c r="B3" s="415">
        <v>590000</v>
      </c>
      <c r="C3" s="415">
        <v>3782000</v>
      </c>
      <c r="D3" s="415">
        <v>5538000</v>
      </c>
      <c r="E3" s="415">
        <v>4476000</v>
      </c>
      <c r="F3" s="534">
        <v>4687920</v>
      </c>
      <c r="G3" s="416">
        <v>7666000</v>
      </c>
      <c r="H3" s="416">
        <v>6132000</v>
      </c>
      <c r="I3" s="416">
        <v>4140000</v>
      </c>
      <c r="J3" s="416">
        <v>4630000</v>
      </c>
      <c r="K3" s="416">
        <v>5326840</v>
      </c>
      <c r="L3" s="416">
        <v>2562000</v>
      </c>
      <c r="M3" s="416">
        <v>4192360</v>
      </c>
      <c r="N3" s="417">
        <f>SUM(B3:M3)</f>
        <v>53723120</v>
      </c>
      <c r="O3" s="416"/>
      <c r="P3" s="535"/>
      <c r="Q3" s="416"/>
      <c r="R3" s="416"/>
      <c r="S3" s="416"/>
    </row>
    <row r="4" spans="1:23" ht="18.5" x14ac:dyDescent="0.55000000000000004">
      <c r="A4" s="419" t="s">
        <v>410</v>
      </c>
      <c r="B4" s="536">
        <f t="shared" ref="B4:J4" si="0">B3/153.85</f>
        <v>3834.9041273968151</v>
      </c>
      <c r="C4" s="536">
        <f t="shared" si="0"/>
        <v>24582.385440363993</v>
      </c>
      <c r="D4" s="536">
        <f t="shared" si="0"/>
        <v>35996.100097497561</v>
      </c>
      <c r="E4" s="536">
        <f t="shared" si="0"/>
        <v>29093.272668183297</v>
      </c>
      <c r="F4" s="536">
        <f t="shared" si="0"/>
        <v>30470.718232044201</v>
      </c>
      <c r="G4" s="536">
        <f t="shared" si="0"/>
        <v>49827.754306142349</v>
      </c>
      <c r="H4" s="536">
        <f t="shared" si="0"/>
        <v>39857.003574910632</v>
      </c>
      <c r="I4" s="536">
        <f t="shared" si="0"/>
        <v>26909.327266818331</v>
      </c>
      <c r="J4" s="536">
        <f t="shared" si="0"/>
        <v>30094.247643808907</v>
      </c>
      <c r="K4" s="536">
        <f>K3/153.85</f>
        <v>34623.594410139747</v>
      </c>
      <c r="L4" s="536">
        <f>L3/153.85</f>
        <v>16652.583685407866</v>
      </c>
      <c r="M4" s="536">
        <f>M3/153.85</f>
        <v>27249.658758531037</v>
      </c>
      <c r="N4" s="537">
        <f t="shared" ref="N4:N14" si="1">SUM(B4:M4)</f>
        <v>349191.55021124467</v>
      </c>
      <c r="P4" s="535"/>
    </row>
    <row r="5" spans="1:23" ht="18.5" x14ac:dyDescent="0.55000000000000004">
      <c r="A5" s="538" t="s">
        <v>410</v>
      </c>
      <c r="B5" s="539">
        <f>(8500*(1-0.42)*B3)/1000000</f>
        <v>2908.7000000000003</v>
      </c>
      <c r="C5" s="539">
        <f>(8500*(1-0.428)*C3)/1000000</f>
        <v>18388.084000000003</v>
      </c>
      <c r="D5" s="539">
        <f>(8500*(1-0.368)*D3)/1000000</f>
        <v>29750.135999999999</v>
      </c>
      <c r="E5" s="539">
        <f>(8500*(1-0.388)*E3)/1000000</f>
        <v>23284.151999999998</v>
      </c>
      <c r="F5" s="539">
        <f>(8500*(1-0.428)*F3)/1000000</f>
        <v>22792.667040000004</v>
      </c>
      <c r="G5" s="539">
        <f>(8500*(1-0.389)*G3)/1000000</f>
        <v>39813.370999999999</v>
      </c>
      <c r="H5" s="539">
        <f>(8500*(1-0.39)*H3)/1000000</f>
        <v>31794.42</v>
      </c>
      <c r="I5" s="539">
        <f>(8500*(1-0.42)*I3)/1000000</f>
        <v>20410.200000000004</v>
      </c>
      <c r="J5" s="539">
        <f>(8500*(1-0.419)*J3)/1000000</f>
        <v>22865.255000000001</v>
      </c>
      <c r="K5" s="539">
        <f>(8500*(1-0.444)*K3)/1000000</f>
        <v>25174.645840000001</v>
      </c>
      <c r="L5" s="539">
        <f>(8500*(1-0.391)*L3)/1000000</f>
        <v>13262.192999999999</v>
      </c>
      <c r="M5" s="539">
        <f>(8500*(1-0.356)*M3)/1000000</f>
        <v>22948.978640000001</v>
      </c>
      <c r="N5" s="540">
        <f>SUM(B5:M5)</f>
        <v>273392.80252000003</v>
      </c>
      <c r="P5" s="535"/>
    </row>
    <row r="6" spans="1:23" ht="18.5" x14ac:dyDescent="0.55000000000000004">
      <c r="A6" s="538" t="s">
        <v>411</v>
      </c>
      <c r="B6" s="541">
        <v>0.42</v>
      </c>
      <c r="C6" s="541">
        <v>0.42799999999999999</v>
      </c>
      <c r="D6" s="541">
        <v>0.36799999999999999</v>
      </c>
      <c r="E6" s="542">
        <v>0.38800000000000001</v>
      </c>
      <c r="F6" s="542">
        <v>0.42799999999999999</v>
      </c>
      <c r="G6" s="541">
        <v>0.38900000000000001</v>
      </c>
      <c r="H6" s="541">
        <v>0.39</v>
      </c>
      <c r="I6" s="541">
        <v>0.42</v>
      </c>
      <c r="J6" s="541">
        <v>0.41899999999999998</v>
      </c>
      <c r="K6" s="541">
        <v>0.44400000000000001</v>
      </c>
      <c r="L6" s="541">
        <v>0.39100000000000001</v>
      </c>
      <c r="M6" s="541">
        <v>0.35599999999999998</v>
      </c>
      <c r="N6" s="543">
        <f>SUM(B6:M6)/12</f>
        <v>0.4034166666666667</v>
      </c>
      <c r="P6" s="535"/>
    </row>
    <row r="7" spans="1:23" ht="18.5" x14ac:dyDescent="0.55000000000000004">
      <c r="A7" s="419" t="s">
        <v>307</v>
      </c>
      <c r="B7" s="414">
        <v>9504</v>
      </c>
      <c r="C7" s="414">
        <v>75390</v>
      </c>
      <c r="D7" s="414">
        <v>116298</v>
      </c>
      <c r="E7" s="403">
        <v>91404</v>
      </c>
      <c r="F7" s="403">
        <v>84048</v>
      </c>
      <c r="G7" s="403">
        <v>171670.41</v>
      </c>
      <c r="H7" s="403">
        <v>147174.96</v>
      </c>
      <c r="I7" s="403">
        <v>98116.32</v>
      </c>
      <c r="J7" s="403">
        <v>105507.12</v>
      </c>
      <c r="K7" s="403">
        <v>122097.8</v>
      </c>
      <c r="L7" s="403">
        <v>61486.559999999998</v>
      </c>
      <c r="M7" s="403">
        <v>99267.43</v>
      </c>
      <c r="N7" s="417">
        <f t="shared" si="1"/>
        <v>1181964.5999999999</v>
      </c>
      <c r="O7" s="403"/>
      <c r="P7" s="535"/>
      <c r="Q7" s="403"/>
      <c r="R7" s="403"/>
      <c r="S7" s="403"/>
      <c r="T7" s="403"/>
      <c r="U7" s="403"/>
    </row>
    <row r="8" spans="1:23" ht="18.5" x14ac:dyDescent="0.55000000000000004">
      <c r="A8" s="420" t="s">
        <v>412</v>
      </c>
      <c r="B8" s="421">
        <f t="shared" ref="B8:G8" si="2">B7/B5</f>
        <v>3.2674390621239726</v>
      </c>
      <c r="C8" s="421">
        <f t="shared" si="2"/>
        <v>4.099937764043279</v>
      </c>
      <c r="D8" s="421">
        <f t="shared" si="2"/>
        <v>3.9091586001489205</v>
      </c>
      <c r="E8" s="421">
        <f t="shared" si="2"/>
        <v>3.9255885290561583</v>
      </c>
      <c r="F8" s="421">
        <f t="shared" si="2"/>
        <v>3.6875017676737838</v>
      </c>
      <c r="G8" s="421">
        <f t="shared" si="2"/>
        <v>4.3118782883268034</v>
      </c>
      <c r="H8" s="421">
        <f>H7/H5</f>
        <v>4.6289556469342736</v>
      </c>
      <c r="I8" s="421">
        <f t="shared" ref="I8:M8" si="3">I7/I5</f>
        <v>4.807219919452038</v>
      </c>
      <c r="J8" s="421">
        <f t="shared" si="3"/>
        <v>4.6142988564964611</v>
      </c>
      <c r="K8" s="421">
        <f t="shared" si="3"/>
        <v>4.8500304940138932</v>
      </c>
      <c r="L8" s="421">
        <f t="shared" si="3"/>
        <v>4.6362287142103877</v>
      </c>
      <c r="M8" s="421">
        <f t="shared" si="3"/>
        <v>4.3255707174251823</v>
      </c>
      <c r="N8" s="422">
        <f>SUM(B8:M8)/12</f>
        <v>4.2553173633254291</v>
      </c>
      <c r="O8" s="405" t="s">
        <v>227</v>
      </c>
      <c r="P8" s="535"/>
    </row>
    <row r="9" spans="1:23" ht="18.5" x14ac:dyDescent="0.55000000000000004">
      <c r="A9" s="419" t="s">
        <v>413</v>
      </c>
      <c r="B9" s="415">
        <v>14162</v>
      </c>
      <c r="C9" s="419">
        <v>2826</v>
      </c>
      <c r="D9" s="415">
        <v>2519</v>
      </c>
      <c r="E9" s="416">
        <v>9687</v>
      </c>
      <c r="F9" s="416">
        <v>10637</v>
      </c>
      <c r="G9" s="416">
        <v>17051</v>
      </c>
      <c r="H9" s="416">
        <v>29688</v>
      </c>
      <c r="I9" s="416">
        <v>28468</v>
      </c>
      <c r="J9" s="416">
        <v>25575</v>
      </c>
      <c r="K9" s="416">
        <v>13218</v>
      </c>
      <c r="L9" s="416">
        <v>10174</v>
      </c>
      <c r="M9" s="416">
        <v>0</v>
      </c>
      <c r="N9" s="417">
        <f t="shared" si="1"/>
        <v>164005</v>
      </c>
      <c r="O9" s="416"/>
      <c r="P9" s="535"/>
    </row>
    <row r="10" spans="1:23" ht="18.5" x14ac:dyDescent="0.55000000000000004">
      <c r="A10" s="419" t="s">
        <v>281</v>
      </c>
      <c r="B10" s="414">
        <v>68030.720000000001</v>
      </c>
      <c r="C10" s="414">
        <v>19400.66</v>
      </c>
      <c r="D10" s="414">
        <v>18821.34</v>
      </c>
      <c r="E10" s="403">
        <v>55464.44</v>
      </c>
      <c r="F10" s="403">
        <v>59768.62</v>
      </c>
      <c r="G10" s="403">
        <v>96976.56</v>
      </c>
      <c r="H10" s="403">
        <v>214047.52</v>
      </c>
      <c r="I10" s="403">
        <v>390662.97</v>
      </c>
      <c r="J10" s="403">
        <v>421945.37</v>
      </c>
      <c r="K10" s="403">
        <v>82540.710000000006</v>
      </c>
      <c r="L10" s="403">
        <v>70291.95</v>
      </c>
      <c r="M10" s="403">
        <v>2164.06</v>
      </c>
      <c r="N10" s="423">
        <f t="shared" si="1"/>
        <v>1500114.92</v>
      </c>
      <c r="P10" s="535"/>
    </row>
    <row r="11" spans="1:23" ht="18.5" x14ac:dyDescent="0.55000000000000004">
      <c r="A11" s="420" t="s">
        <v>414</v>
      </c>
      <c r="B11" s="421">
        <f>B10/B9</f>
        <v>4.8037508826436941</v>
      </c>
      <c r="C11" s="421">
        <f t="shared" ref="C11:L11" si="4">C10/C9</f>
        <v>6.8650601556970985</v>
      </c>
      <c r="D11" s="421">
        <f t="shared" si="4"/>
        <v>7.4717506947201269</v>
      </c>
      <c r="E11" s="421">
        <f t="shared" si="4"/>
        <v>5.7256570661711574</v>
      </c>
      <c r="F11" s="421">
        <f t="shared" si="4"/>
        <v>5.6189357901664003</v>
      </c>
      <c r="G11" s="421">
        <f t="shared" si="4"/>
        <v>5.6874412057943813</v>
      </c>
      <c r="H11" s="421">
        <f>H10/H9</f>
        <v>7.2099002964160599</v>
      </c>
      <c r="I11" s="421">
        <f t="shared" si="4"/>
        <v>13.722880778417872</v>
      </c>
      <c r="J11" s="421">
        <f t="shared" si="4"/>
        <v>16.498352688172044</v>
      </c>
      <c r="K11" s="421">
        <f t="shared" si="4"/>
        <v>6.2445687698592831</v>
      </c>
      <c r="L11" s="421">
        <f t="shared" si="4"/>
        <v>6.9089787694122267</v>
      </c>
      <c r="M11" s="445">
        <v>0</v>
      </c>
      <c r="N11" s="422">
        <f>SUM(B11:M11)/12</f>
        <v>7.2297730914558622</v>
      </c>
      <c r="O11" s="403" t="s">
        <v>227</v>
      </c>
      <c r="P11" s="535"/>
    </row>
    <row r="12" spans="1:23" ht="18.5" x14ac:dyDescent="0.55000000000000004">
      <c r="A12" s="424" t="s">
        <v>311</v>
      </c>
      <c r="B12" s="425">
        <v>3.95</v>
      </c>
      <c r="C12" s="425">
        <v>3.73</v>
      </c>
      <c r="D12" s="425">
        <v>3.99</v>
      </c>
      <c r="E12" s="426">
        <v>4.6100000000000003</v>
      </c>
      <c r="F12" s="426">
        <v>4.43</v>
      </c>
      <c r="G12" s="426">
        <v>4.7699999999999996</v>
      </c>
      <c r="H12" s="426">
        <v>6.47</v>
      </c>
      <c r="I12" s="426">
        <v>12.98</v>
      </c>
      <c r="J12" s="426">
        <v>15.56</v>
      </c>
      <c r="K12" s="426">
        <v>5.56</v>
      </c>
      <c r="L12" s="426">
        <v>6.17</v>
      </c>
      <c r="M12" s="426">
        <v>0</v>
      </c>
      <c r="N12" s="427">
        <f>SUM(B12:M12)/12</f>
        <v>6.0183333333333335</v>
      </c>
      <c r="O12" s="403" t="s">
        <v>227</v>
      </c>
      <c r="P12" s="535"/>
      <c r="Q12" s="428"/>
      <c r="R12" s="428"/>
      <c r="S12" s="428"/>
      <c r="T12" s="428"/>
      <c r="U12" s="428"/>
      <c r="V12" s="428"/>
      <c r="W12" s="428"/>
    </row>
    <row r="13" spans="1:23" ht="18.5" x14ac:dyDescent="0.55000000000000004">
      <c r="A13" s="419" t="s">
        <v>312</v>
      </c>
      <c r="B13" s="419">
        <v>0</v>
      </c>
      <c r="C13" s="419">
        <v>0</v>
      </c>
      <c r="D13" s="415">
        <v>0</v>
      </c>
      <c r="E13" s="416">
        <v>0</v>
      </c>
      <c r="F13" s="416">
        <v>30742</v>
      </c>
      <c r="G13" s="416">
        <v>0</v>
      </c>
      <c r="H13" s="416">
        <v>5334</v>
      </c>
      <c r="I13" s="416">
        <v>34578</v>
      </c>
      <c r="J13" s="416">
        <v>15053</v>
      </c>
      <c r="K13" s="416">
        <v>5754</v>
      </c>
      <c r="L13" s="416">
        <v>0</v>
      </c>
      <c r="M13" s="403">
        <v>0</v>
      </c>
      <c r="N13" s="417">
        <f t="shared" si="1"/>
        <v>91461</v>
      </c>
      <c r="O13" s="403"/>
      <c r="P13" s="535"/>
      <c r="Q13" s="428"/>
      <c r="R13" s="428"/>
      <c r="S13" s="428"/>
      <c r="T13" s="428"/>
      <c r="U13" s="428"/>
      <c r="V13" s="428"/>
      <c r="W13" s="428"/>
    </row>
    <row r="14" spans="1:23" ht="18.5" x14ac:dyDescent="0.55000000000000004">
      <c r="A14" s="419" t="s">
        <v>415</v>
      </c>
      <c r="B14" s="419">
        <f>B13*0.141</f>
        <v>0</v>
      </c>
      <c r="C14" s="415">
        <f t="shared" ref="C14:L14" si="5">C13*0.141</f>
        <v>0</v>
      </c>
      <c r="D14" s="415">
        <f t="shared" si="5"/>
        <v>0</v>
      </c>
      <c r="E14" s="415">
        <f t="shared" si="5"/>
        <v>0</v>
      </c>
      <c r="F14" s="415">
        <f t="shared" si="5"/>
        <v>4334.6219999999994</v>
      </c>
      <c r="G14" s="415">
        <f t="shared" si="5"/>
        <v>0</v>
      </c>
      <c r="H14" s="415">
        <f t="shared" si="5"/>
        <v>752.09399999999994</v>
      </c>
      <c r="I14" s="415">
        <f t="shared" si="5"/>
        <v>4875.4979999999996</v>
      </c>
      <c r="J14" s="415">
        <f t="shared" si="5"/>
        <v>2122.473</v>
      </c>
      <c r="K14" s="415">
        <f t="shared" si="5"/>
        <v>811.31399999999996</v>
      </c>
      <c r="L14" s="415">
        <f t="shared" si="5"/>
        <v>0</v>
      </c>
      <c r="M14" s="403">
        <v>0</v>
      </c>
      <c r="N14" s="417">
        <f t="shared" si="1"/>
        <v>12896.001</v>
      </c>
      <c r="O14" s="403"/>
      <c r="P14" s="535"/>
      <c r="Q14" s="428"/>
      <c r="R14" s="428"/>
      <c r="S14" s="428"/>
      <c r="T14" s="428"/>
      <c r="U14" s="428"/>
      <c r="V14" s="428"/>
      <c r="W14" s="428"/>
    </row>
    <row r="15" spans="1:23" ht="13" x14ac:dyDescent="0.3">
      <c r="A15" s="419" t="s">
        <v>314</v>
      </c>
      <c r="B15" s="414">
        <v>0</v>
      </c>
      <c r="C15" s="414">
        <v>0</v>
      </c>
      <c r="D15" s="414">
        <v>0</v>
      </c>
      <c r="E15" s="403">
        <v>0</v>
      </c>
      <c r="F15" s="403">
        <v>65101.68</v>
      </c>
      <c r="G15" s="403">
        <v>0</v>
      </c>
      <c r="H15" s="403">
        <v>11277.18</v>
      </c>
      <c r="I15" s="403">
        <v>70658</v>
      </c>
      <c r="J15" s="403">
        <v>41144</v>
      </c>
      <c r="K15" s="403">
        <v>17536.47</v>
      </c>
      <c r="L15" s="403">
        <v>0</v>
      </c>
      <c r="M15" s="403">
        <v>0</v>
      </c>
      <c r="N15" s="417">
        <f>SUM(B15:M15)</f>
        <v>205717.33</v>
      </c>
      <c r="O15" s="403"/>
      <c r="P15" s="428"/>
      <c r="Q15" s="428"/>
      <c r="R15" s="428"/>
      <c r="S15" s="428"/>
      <c r="T15" s="428"/>
      <c r="U15" s="428"/>
      <c r="V15" s="428"/>
      <c r="W15" s="428"/>
    </row>
    <row r="16" spans="1:23" ht="13" x14ac:dyDescent="0.3">
      <c r="A16" s="420" t="s">
        <v>416</v>
      </c>
      <c r="B16" s="403">
        <v>0</v>
      </c>
      <c r="C16" s="403">
        <v>0</v>
      </c>
      <c r="D16" s="403">
        <v>0</v>
      </c>
      <c r="E16" s="403">
        <v>0</v>
      </c>
      <c r="F16" s="403">
        <f>F15/F14</f>
        <v>15.018998196382524</v>
      </c>
      <c r="G16" s="403">
        <v>0</v>
      </c>
      <c r="H16" s="403">
        <f>H15/H14</f>
        <v>14.994375703037122</v>
      </c>
      <c r="I16" s="403">
        <f t="shared" ref="I16" si="6">I15/I14</f>
        <v>14.492468256576048</v>
      </c>
      <c r="J16" s="403">
        <f>J15/J14</f>
        <v>19.384934460885958</v>
      </c>
      <c r="K16" s="403">
        <f>K15/K14</f>
        <v>21.614898793808564</v>
      </c>
      <c r="L16" s="403">
        <v>0</v>
      </c>
      <c r="M16" s="403">
        <v>0</v>
      </c>
      <c r="N16" s="423">
        <f>SUM(B16:M16)/12</f>
        <v>7.1254729508908516</v>
      </c>
      <c r="O16" s="403" t="s">
        <v>227</v>
      </c>
      <c r="P16" s="428"/>
      <c r="Q16" s="428"/>
      <c r="R16" s="428"/>
      <c r="S16" s="428"/>
      <c r="T16" s="428"/>
      <c r="U16" s="428"/>
      <c r="V16" s="428"/>
      <c r="W16" s="428"/>
    </row>
    <row r="17" spans="1:22" x14ac:dyDescent="0.25">
      <c r="A17" s="429" t="s">
        <v>316</v>
      </c>
      <c r="B17" s="430">
        <f t="shared" ref="B17:K17" si="7">B7+B10+B15</f>
        <v>77534.720000000001</v>
      </c>
      <c r="C17" s="430">
        <f t="shared" si="7"/>
        <v>94790.66</v>
      </c>
      <c r="D17" s="430">
        <f t="shared" si="7"/>
        <v>135119.34</v>
      </c>
      <c r="E17" s="430">
        <f t="shared" si="7"/>
        <v>146868.44</v>
      </c>
      <c r="F17" s="430">
        <f t="shared" si="7"/>
        <v>208918.3</v>
      </c>
      <c r="G17" s="430">
        <f t="shared" si="7"/>
        <v>268646.96999999997</v>
      </c>
      <c r="H17" s="430">
        <f t="shared" si="7"/>
        <v>372499.66</v>
      </c>
      <c r="I17" s="430">
        <f t="shared" si="7"/>
        <v>559437.29</v>
      </c>
      <c r="J17" s="430">
        <f>J7+J10+J15</f>
        <v>568596.49</v>
      </c>
      <c r="K17" s="430">
        <f t="shared" si="7"/>
        <v>222174.98</v>
      </c>
      <c r="L17" s="430">
        <f>L7+L10+L15</f>
        <v>131778.51</v>
      </c>
      <c r="M17" s="430">
        <f>M7+M10+M15</f>
        <v>101431.48999999999</v>
      </c>
      <c r="N17" s="431">
        <f>SUM(B17:M17)</f>
        <v>2887796.8500000006</v>
      </c>
      <c r="O17" s="403"/>
    </row>
    <row r="18" spans="1:22" x14ac:dyDescent="0.25">
      <c r="A18" s="419" t="s">
        <v>417</v>
      </c>
      <c r="B18" s="416">
        <f>B5+B9+B14</f>
        <v>17070.7</v>
      </c>
      <c r="C18" s="416">
        <f t="shared" ref="C18:M18" si="8">C5+C9+C14</f>
        <v>21214.084000000003</v>
      </c>
      <c r="D18" s="416">
        <f t="shared" si="8"/>
        <v>32269.135999999999</v>
      </c>
      <c r="E18" s="416">
        <f t="shared" si="8"/>
        <v>32971.152000000002</v>
      </c>
      <c r="F18" s="416">
        <f t="shared" si="8"/>
        <v>37764.289040000003</v>
      </c>
      <c r="G18" s="416">
        <f t="shared" si="8"/>
        <v>56864.370999999999</v>
      </c>
      <c r="H18" s="416">
        <f t="shared" si="8"/>
        <v>62234.513999999996</v>
      </c>
      <c r="I18" s="416">
        <f t="shared" si="8"/>
        <v>53753.698000000004</v>
      </c>
      <c r="J18" s="416">
        <f t="shared" si="8"/>
        <v>50562.728000000003</v>
      </c>
      <c r="K18" s="416">
        <f t="shared" si="8"/>
        <v>39203.959839999996</v>
      </c>
      <c r="L18" s="416">
        <f t="shared" si="8"/>
        <v>23436.192999999999</v>
      </c>
      <c r="M18" s="416">
        <f t="shared" si="8"/>
        <v>22948.978640000001</v>
      </c>
      <c r="N18" s="433">
        <f>SUM(B18:M18)</f>
        <v>450293.80351999996</v>
      </c>
    </row>
    <row r="19" spans="1:22" ht="13" x14ac:dyDescent="0.3">
      <c r="A19" s="544" t="s">
        <v>418</v>
      </c>
      <c r="B19" s="545">
        <f>B17/B18</f>
        <v>4.5419766031855753</v>
      </c>
      <c r="C19" s="545">
        <f t="shared" ref="C19:H19" si="9">C17/C18</f>
        <v>4.4682890856847743</v>
      </c>
      <c r="D19" s="545">
        <f t="shared" si="9"/>
        <v>4.1872624045465612</v>
      </c>
      <c r="E19" s="545">
        <f t="shared" si="9"/>
        <v>4.4544527895173331</v>
      </c>
      <c r="F19" s="545">
        <f t="shared" si="9"/>
        <v>5.5321655805227357</v>
      </c>
      <c r="G19" s="545">
        <f t="shared" si="9"/>
        <v>4.7243461112055556</v>
      </c>
      <c r="H19" s="545">
        <f t="shared" si="9"/>
        <v>5.9854192803690891</v>
      </c>
      <c r="I19" s="545">
        <f>I17/I18</f>
        <v>10.407419597438674</v>
      </c>
      <c r="J19" s="545">
        <f>J17/J18</f>
        <v>11.245368129662623</v>
      </c>
      <c r="K19" s="545">
        <f>K17/K18</f>
        <v>5.6671566062904128</v>
      </c>
      <c r="L19" s="545">
        <f>L17/L18</f>
        <v>5.6228633208473751</v>
      </c>
      <c r="M19" s="545">
        <f>M17/M18</f>
        <v>4.4198694674457188</v>
      </c>
      <c r="N19" s="546">
        <f>SUM(B19:M19)/12</f>
        <v>5.9380490813930358</v>
      </c>
      <c r="O19" s="547" t="s">
        <v>227</v>
      </c>
    </row>
    <row r="20" spans="1:22" x14ac:dyDescent="0.25">
      <c r="A20" s="437" t="s">
        <v>419</v>
      </c>
      <c r="B20" s="438">
        <v>12191</v>
      </c>
      <c r="C20" s="438">
        <v>2241</v>
      </c>
      <c r="D20" s="438">
        <v>1666</v>
      </c>
      <c r="E20" s="438">
        <v>7672</v>
      </c>
      <c r="F20" s="438">
        <v>10152</v>
      </c>
      <c r="G20" s="438">
        <v>12260</v>
      </c>
      <c r="H20" s="438">
        <v>23997</v>
      </c>
      <c r="I20" s="438">
        <v>26080</v>
      </c>
      <c r="J20" s="438">
        <v>23154</v>
      </c>
      <c r="K20" s="438">
        <v>11955</v>
      </c>
      <c r="L20" s="416">
        <v>10026</v>
      </c>
      <c r="M20" s="405">
        <v>0</v>
      </c>
      <c r="N20" s="417">
        <f>SUM(B20:M20)</f>
        <v>141394</v>
      </c>
    </row>
    <row r="21" spans="1:22" x14ac:dyDescent="0.25">
      <c r="A21" s="437" t="s">
        <v>420</v>
      </c>
      <c r="B21" s="438">
        <v>0</v>
      </c>
      <c r="C21" s="438">
        <v>8327</v>
      </c>
      <c r="D21" s="438">
        <v>16015</v>
      </c>
      <c r="E21" s="438">
        <v>13363</v>
      </c>
      <c r="F21" s="438">
        <v>11578</v>
      </c>
      <c r="G21" s="438">
        <v>23856</v>
      </c>
      <c r="H21" s="438">
        <v>18581</v>
      </c>
      <c r="I21" s="438">
        <v>11837</v>
      </c>
      <c r="J21" s="438">
        <v>13876</v>
      </c>
      <c r="K21" s="438">
        <v>14749</v>
      </c>
      <c r="L21" s="416">
        <v>7613</v>
      </c>
      <c r="M21" s="416">
        <v>14386</v>
      </c>
      <c r="N21" s="417">
        <f>SUM(B21:M21)</f>
        <v>154181</v>
      </c>
    </row>
    <row r="22" spans="1:22" x14ac:dyDescent="0.25">
      <c r="A22" s="419" t="s">
        <v>421</v>
      </c>
      <c r="B22" s="548">
        <v>12191</v>
      </c>
      <c r="C22" s="548">
        <v>10568</v>
      </c>
      <c r="D22" s="548">
        <v>17682</v>
      </c>
      <c r="E22" s="439">
        <v>21034</v>
      </c>
      <c r="F22" s="439">
        <v>21732</v>
      </c>
      <c r="G22" s="439">
        <v>36116</v>
      </c>
      <c r="H22" s="439">
        <v>42578</v>
      </c>
      <c r="I22" s="439">
        <v>37917</v>
      </c>
      <c r="J22" s="439">
        <v>37030</v>
      </c>
      <c r="K22" s="439">
        <f>SUM(K19:K21)</f>
        <v>26709.667156606291</v>
      </c>
      <c r="L22" s="439">
        <f>SUM(L20:L21)</f>
        <v>17639</v>
      </c>
      <c r="M22" s="439">
        <f>SUM(M20:M21)</f>
        <v>14386</v>
      </c>
      <c r="N22" s="440">
        <f>SUM(B22:M22)</f>
        <v>295582.66715660627</v>
      </c>
      <c r="O22" s="416"/>
      <c r="P22" s="416"/>
      <c r="Q22" s="416"/>
      <c r="R22" s="416"/>
      <c r="S22" s="416"/>
      <c r="T22" s="416"/>
      <c r="U22" s="416"/>
      <c r="V22" s="416"/>
    </row>
    <row r="23" spans="1:22" x14ac:dyDescent="0.25">
      <c r="A23" s="419" t="s">
        <v>322</v>
      </c>
      <c r="B23" s="443">
        <f t="shared" ref="B23:I23" si="10">B17/(B22*1000)</f>
        <v>6.3599967188909855E-3</v>
      </c>
      <c r="C23" s="443">
        <f t="shared" si="10"/>
        <v>8.9695931112793344E-3</v>
      </c>
      <c r="D23" s="443">
        <f t="shared" si="10"/>
        <v>7.6416321683067528E-3</v>
      </c>
      <c r="E23" s="443">
        <f t="shared" si="10"/>
        <v>6.9824303508605121E-3</v>
      </c>
      <c r="F23" s="443">
        <f>F17/(F22*1000)</f>
        <v>9.6133949935578861E-3</v>
      </c>
      <c r="G23" s="443">
        <f t="shared" si="10"/>
        <v>7.4384475024919698E-3</v>
      </c>
      <c r="H23" s="443">
        <f t="shared" si="10"/>
        <v>8.7486415519751979E-3</v>
      </c>
      <c r="I23" s="443">
        <f t="shared" si="10"/>
        <v>1.4754260358150698E-2</v>
      </c>
      <c r="J23" s="443">
        <f>J17/(J22*1000)</f>
        <v>1.5355022684310018E-2</v>
      </c>
      <c r="K23" s="443">
        <f>K17/(K22*1000)</f>
        <v>8.3181485825834373E-3</v>
      </c>
      <c r="L23" s="443">
        <f>L17/(L22*1000)</f>
        <v>7.470860593004139E-3</v>
      </c>
      <c r="M23" s="443">
        <f>M17/(M22*1000)</f>
        <v>7.050708327540664E-3</v>
      </c>
      <c r="N23" s="443">
        <f>N17/(N22*1000)</f>
        <v>9.7698450243362267E-3</v>
      </c>
    </row>
    <row r="24" spans="1:22" x14ac:dyDescent="0.25">
      <c r="A24" s="419"/>
      <c r="B24" s="419"/>
      <c r="C24" s="419"/>
      <c r="D24" s="549" t="s">
        <v>422</v>
      </c>
      <c r="E24" s="443"/>
      <c r="F24" s="443"/>
      <c r="N24" s="444"/>
    </row>
    <row r="25" spans="1:22" ht="13" x14ac:dyDescent="0.3">
      <c r="A25" s="445" t="s">
        <v>323</v>
      </c>
      <c r="B25" s="414"/>
      <c r="C25" s="414"/>
      <c r="D25" s="414"/>
      <c r="N25" s="444"/>
    </row>
    <row r="26" spans="1:22" x14ac:dyDescent="0.25">
      <c r="A26" s="414" t="s">
        <v>324</v>
      </c>
      <c r="B26" s="415">
        <v>55521</v>
      </c>
      <c r="C26" s="415">
        <v>64935</v>
      </c>
      <c r="D26" s="550">
        <v>62881</v>
      </c>
      <c r="E26" s="551">
        <v>68607</v>
      </c>
      <c r="F26" s="551">
        <v>81134</v>
      </c>
      <c r="G26" s="551">
        <v>89910</v>
      </c>
      <c r="H26" s="551">
        <v>96445</v>
      </c>
      <c r="I26" s="551">
        <v>93056</v>
      </c>
      <c r="J26" s="551">
        <v>89225</v>
      </c>
      <c r="K26" s="551">
        <v>81031</v>
      </c>
      <c r="L26" s="416">
        <v>71161</v>
      </c>
      <c r="M26" s="405">
        <v>69800</v>
      </c>
      <c r="N26" s="417">
        <f>SUM(B26:M26)</f>
        <v>923706</v>
      </c>
    </row>
    <row r="27" spans="1:22" x14ac:dyDescent="0.25">
      <c r="A27" s="414" t="s">
        <v>325</v>
      </c>
      <c r="B27" s="415">
        <v>0</v>
      </c>
      <c r="C27" s="415" t="s">
        <v>423</v>
      </c>
      <c r="D27" s="550" t="s">
        <v>423</v>
      </c>
      <c r="E27" s="551">
        <v>68116</v>
      </c>
      <c r="F27" s="551">
        <v>92725</v>
      </c>
      <c r="G27" s="551">
        <v>85340</v>
      </c>
      <c r="H27" s="551">
        <v>11543</v>
      </c>
      <c r="I27" s="551">
        <v>43684</v>
      </c>
      <c r="J27" s="551">
        <v>55928</v>
      </c>
      <c r="K27" s="551">
        <v>69476</v>
      </c>
      <c r="L27" s="416">
        <v>60820</v>
      </c>
      <c r="M27" s="405">
        <v>51764</v>
      </c>
      <c r="N27" s="417">
        <f t="shared" ref="N27:N30" si="11">SUM(B27:M27)</f>
        <v>539396</v>
      </c>
    </row>
    <row r="28" spans="1:22" x14ac:dyDescent="0.25">
      <c r="A28" s="414" t="s">
        <v>326</v>
      </c>
      <c r="B28" s="415">
        <v>0</v>
      </c>
      <c r="C28" s="415" t="s">
        <v>423</v>
      </c>
      <c r="D28" s="550" t="s">
        <v>423</v>
      </c>
      <c r="E28" s="551">
        <v>-36665</v>
      </c>
      <c r="F28" s="551">
        <v>-44105</v>
      </c>
      <c r="G28" s="551">
        <v>-179711</v>
      </c>
      <c r="H28" s="551">
        <v>-209059</v>
      </c>
      <c r="I28" s="551">
        <v>-97974</v>
      </c>
      <c r="J28" s="551">
        <v>-172814</v>
      </c>
      <c r="K28" s="551">
        <v>-125211</v>
      </c>
      <c r="L28" s="416">
        <v>-11348</v>
      </c>
      <c r="M28" s="405">
        <v>-77673</v>
      </c>
      <c r="N28" s="417">
        <f t="shared" si="11"/>
        <v>-954560</v>
      </c>
    </row>
    <row r="29" spans="1:22" x14ac:dyDescent="0.25">
      <c r="A29" s="414" t="s">
        <v>424</v>
      </c>
      <c r="B29" s="415">
        <f>SUM(B26:B28)</f>
        <v>55521</v>
      </c>
      <c r="C29" s="415">
        <f t="shared" ref="C29:J29" si="12">SUM(C26:C28)</f>
        <v>64935</v>
      </c>
      <c r="D29" s="550">
        <f t="shared" si="12"/>
        <v>62881</v>
      </c>
      <c r="E29" s="551">
        <f t="shared" si="12"/>
        <v>100058</v>
      </c>
      <c r="F29" s="551">
        <f t="shared" si="12"/>
        <v>129754</v>
      </c>
      <c r="G29" s="551">
        <f t="shared" si="12"/>
        <v>-4461</v>
      </c>
      <c r="H29" s="551">
        <f t="shared" si="12"/>
        <v>-101071</v>
      </c>
      <c r="I29" s="551">
        <f t="shared" si="12"/>
        <v>38766</v>
      </c>
      <c r="J29" s="551">
        <f t="shared" si="12"/>
        <v>-27661</v>
      </c>
      <c r="K29" s="551">
        <f>SUM(K26:K28)</f>
        <v>25296</v>
      </c>
      <c r="L29" s="416">
        <f>SUM(L26:L28)</f>
        <v>120633</v>
      </c>
      <c r="M29" s="416">
        <f>SUM(M26:M28)</f>
        <v>43891</v>
      </c>
      <c r="N29" s="417">
        <f t="shared" si="11"/>
        <v>508542</v>
      </c>
    </row>
    <row r="30" spans="1:22" x14ac:dyDescent="0.25">
      <c r="A30" s="414" t="s">
        <v>425</v>
      </c>
      <c r="B30" s="448">
        <f t="shared" ref="B30:M30" si="13">B29*0.085</f>
        <v>4719.2850000000008</v>
      </c>
      <c r="C30" s="448">
        <f t="shared" si="13"/>
        <v>5519.4750000000004</v>
      </c>
      <c r="D30" s="552">
        <f t="shared" si="13"/>
        <v>5344.8850000000002</v>
      </c>
      <c r="E30" s="552">
        <f t="shared" si="13"/>
        <v>8504.93</v>
      </c>
      <c r="F30" s="552">
        <f t="shared" si="13"/>
        <v>11029.09</v>
      </c>
      <c r="G30" s="552">
        <f t="shared" si="13"/>
        <v>-379.185</v>
      </c>
      <c r="H30" s="552">
        <f t="shared" si="13"/>
        <v>-8591.0349999999999</v>
      </c>
      <c r="I30" s="552">
        <f t="shared" si="13"/>
        <v>3295.11</v>
      </c>
      <c r="J30" s="552">
        <f t="shared" si="13"/>
        <v>-2351.1849999999999</v>
      </c>
      <c r="K30" s="552">
        <f t="shared" si="13"/>
        <v>2150.1600000000003</v>
      </c>
      <c r="L30" s="552">
        <f t="shared" si="13"/>
        <v>10253.805</v>
      </c>
      <c r="M30" s="552">
        <f t="shared" si="13"/>
        <v>3730.7350000000001</v>
      </c>
      <c r="N30" s="417">
        <f t="shared" si="11"/>
        <v>43226.070000000007</v>
      </c>
    </row>
    <row r="31" spans="1:22" ht="13" x14ac:dyDescent="0.3">
      <c r="D31" s="553"/>
      <c r="E31" s="554" t="s">
        <v>426</v>
      </c>
      <c r="F31" s="555"/>
      <c r="G31" s="555"/>
      <c r="H31" s="555"/>
      <c r="I31" s="555"/>
      <c r="J31" s="555"/>
      <c r="K31" s="555"/>
      <c r="N31" s="444"/>
    </row>
    <row r="32" spans="1:22" x14ac:dyDescent="0.25">
      <c r="A32" s="414" t="s">
        <v>329</v>
      </c>
      <c r="B32" s="403">
        <f>SUM(B30,B17)</f>
        <v>82254.005000000005</v>
      </c>
      <c r="C32" s="403">
        <f t="shared" ref="C32:K32" si="14">SUM(C30,C17)</f>
        <v>100310.13500000001</v>
      </c>
      <c r="D32" s="553">
        <f t="shared" si="14"/>
        <v>140464.22500000001</v>
      </c>
      <c r="E32" s="553">
        <f t="shared" si="14"/>
        <v>155373.37</v>
      </c>
      <c r="F32" s="553">
        <f t="shared" si="14"/>
        <v>219947.38999999998</v>
      </c>
      <c r="G32" s="553">
        <f t="shared" si="14"/>
        <v>268267.78499999997</v>
      </c>
      <c r="H32" s="553">
        <f t="shared" si="14"/>
        <v>363908.625</v>
      </c>
      <c r="I32" s="553">
        <f t="shared" si="14"/>
        <v>562732.4</v>
      </c>
      <c r="J32" s="553">
        <f t="shared" si="14"/>
        <v>566245.30499999993</v>
      </c>
      <c r="K32" s="553">
        <f t="shared" si="14"/>
        <v>224325.14</v>
      </c>
      <c r="L32" s="553">
        <f>SUM(L30,L17)</f>
        <v>142032.315</v>
      </c>
      <c r="M32" s="553">
        <f>SUM(M30,M17)</f>
        <v>105162.22499999999</v>
      </c>
      <c r="N32" s="423">
        <f>SUM(B32:M32)</f>
        <v>2931022.9200000004</v>
      </c>
    </row>
    <row r="33" spans="1:22" ht="13" x14ac:dyDescent="0.3">
      <c r="A33" s="414"/>
      <c r="B33" s="414"/>
      <c r="C33" s="414"/>
      <c r="F33" s="428"/>
      <c r="N33" s="444"/>
    </row>
    <row r="34" spans="1:22" x14ac:dyDescent="0.25">
      <c r="A34" s="403" t="s">
        <v>330</v>
      </c>
      <c r="B34" s="409" t="s">
        <v>291</v>
      </c>
      <c r="C34" s="409" t="s">
        <v>292</v>
      </c>
      <c r="D34" s="409" t="s">
        <v>293</v>
      </c>
      <c r="E34" s="410" t="s">
        <v>294</v>
      </c>
      <c r="F34" s="411" t="s">
        <v>295</v>
      </c>
      <c r="G34" s="411" t="s">
        <v>296</v>
      </c>
      <c r="H34" s="411" t="s">
        <v>297</v>
      </c>
      <c r="I34" s="411" t="s">
        <v>298</v>
      </c>
      <c r="J34" s="411" t="s">
        <v>299</v>
      </c>
      <c r="K34" s="411" t="s">
        <v>300</v>
      </c>
      <c r="L34" s="411" t="s">
        <v>301</v>
      </c>
      <c r="M34" s="411" t="s">
        <v>302</v>
      </c>
      <c r="N34" s="444"/>
    </row>
    <row r="35" spans="1:22" x14ac:dyDescent="0.25">
      <c r="A35" s="414" t="s">
        <v>333</v>
      </c>
      <c r="B35" s="415">
        <v>12738000</v>
      </c>
      <c r="C35" s="415">
        <v>13423000</v>
      </c>
      <c r="D35" s="416">
        <v>16651000</v>
      </c>
      <c r="E35" s="416">
        <v>20104000</v>
      </c>
      <c r="F35" s="416">
        <v>24475000</v>
      </c>
      <c r="G35" s="416">
        <v>29368000</v>
      </c>
      <c r="H35" s="416">
        <v>34475000</v>
      </c>
      <c r="I35" s="416">
        <v>32148600</v>
      </c>
      <c r="J35" s="416">
        <v>30678000</v>
      </c>
      <c r="K35" s="416">
        <v>23214000</v>
      </c>
      <c r="L35" s="416">
        <v>14746000</v>
      </c>
      <c r="M35" s="416">
        <v>14468000</v>
      </c>
      <c r="N35" s="444"/>
    </row>
    <row r="36" spans="1:22" x14ac:dyDescent="0.25">
      <c r="A36" s="414" t="s">
        <v>334</v>
      </c>
      <c r="B36" s="415">
        <v>18673000</v>
      </c>
      <c r="C36" s="415">
        <v>17534000</v>
      </c>
      <c r="D36" s="416">
        <v>20466000</v>
      </c>
      <c r="E36" s="416">
        <v>21442000</v>
      </c>
      <c r="F36" s="416">
        <v>22829000</v>
      </c>
      <c r="G36" s="416">
        <v>29350000</v>
      </c>
      <c r="H36" s="416">
        <v>31372000</v>
      </c>
      <c r="I36" s="416">
        <v>28044000</v>
      </c>
      <c r="J36" s="416">
        <v>22007000</v>
      </c>
      <c r="K36" s="416">
        <v>20810000</v>
      </c>
      <c r="L36" s="416">
        <v>14332000</v>
      </c>
      <c r="M36" s="416">
        <v>13151000</v>
      </c>
      <c r="N36" s="444"/>
    </row>
    <row r="37" spans="1:22" x14ac:dyDescent="0.25">
      <c r="A37" s="414" t="s">
        <v>335</v>
      </c>
      <c r="B37" s="415">
        <v>21522000</v>
      </c>
      <c r="C37" s="415">
        <v>20994000</v>
      </c>
      <c r="D37" s="416">
        <v>22005000</v>
      </c>
      <c r="E37" s="416">
        <v>22754000</v>
      </c>
      <c r="F37" s="416">
        <v>24208000</v>
      </c>
      <c r="G37" s="416">
        <v>31848000</v>
      </c>
      <c r="H37" s="416">
        <v>36034000</v>
      </c>
      <c r="I37" s="416">
        <v>30336000</v>
      </c>
      <c r="J37" s="416">
        <v>29692300</v>
      </c>
      <c r="K37" s="416">
        <v>22278000</v>
      </c>
      <c r="L37" s="416">
        <v>15679000</v>
      </c>
      <c r="M37" s="416">
        <v>18113000</v>
      </c>
      <c r="N37" s="444"/>
    </row>
    <row r="38" spans="1:22" x14ac:dyDescent="0.25">
      <c r="A38" s="414" t="s">
        <v>336</v>
      </c>
      <c r="B38" s="415">
        <v>22940000</v>
      </c>
      <c r="C38" s="415">
        <v>22813000</v>
      </c>
      <c r="D38" s="416">
        <v>24244000</v>
      </c>
      <c r="E38" s="416">
        <v>23065000</v>
      </c>
      <c r="F38" s="416">
        <v>23476000</v>
      </c>
      <c r="G38" s="416">
        <v>29577000</v>
      </c>
      <c r="H38" s="416">
        <v>29669000</v>
      </c>
      <c r="I38" s="416">
        <v>27403300</v>
      </c>
      <c r="J38" s="416">
        <v>25159000</v>
      </c>
      <c r="K38" s="416">
        <v>18573000</v>
      </c>
      <c r="L38" s="416">
        <v>16473000</v>
      </c>
      <c r="M38" s="416">
        <v>18907000</v>
      </c>
      <c r="N38" s="444"/>
    </row>
    <row r="39" spans="1:22" x14ac:dyDescent="0.25">
      <c r="A39" s="403" t="s">
        <v>427</v>
      </c>
      <c r="B39" s="416"/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44"/>
    </row>
    <row r="40" spans="1:22" x14ac:dyDescent="0.25">
      <c r="A40" s="414" t="s">
        <v>333</v>
      </c>
      <c r="B40" s="415">
        <v>12738</v>
      </c>
      <c r="C40" s="415">
        <v>13423</v>
      </c>
      <c r="D40" s="416">
        <f>D35/1000</f>
        <v>16651</v>
      </c>
      <c r="E40" s="416">
        <f>E35/1000</f>
        <v>20104</v>
      </c>
      <c r="F40" s="416">
        <f>F35/1000</f>
        <v>24475</v>
      </c>
      <c r="G40" s="416">
        <f>G35/1000</f>
        <v>29368</v>
      </c>
      <c r="H40" s="416">
        <v>34475</v>
      </c>
      <c r="I40" s="416">
        <v>32149</v>
      </c>
      <c r="J40" s="416">
        <v>30678</v>
      </c>
      <c r="K40" s="416">
        <v>23214</v>
      </c>
      <c r="L40" s="416">
        <v>14746</v>
      </c>
      <c r="M40" s="416">
        <v>14468</v>
      </c>
      <c r="N40" s="444"/>
    </row>
    <row r="41" spans="1:22" x14ac:dyDescent="0.25">
      <c r="A41" s="414" t="s">
        <v>334</v>
      </c>
      <c r="B41" s="415">
        <v>18673</v>
      </c>
      <c r="C41" s="415">
        <v>17534</v>
      </c>
      <c r="D41" s="416">
        <f t="shared" ref="D41:G43" si="15">D36/1000</f>
        <v>20466</v>
      </c>
      <c r="E41" s="416">
        <f t="shared" si="15"/>
        <v>21442</v>
      </c>
      <c r="F41" s="416">
        <f t="shared" si="15"/>
        <v>22829</v>
      </c>
      <c r="G41" s="416">
        <f t="shared" si="15"/>
        <v>29350</v>
      </c>
      <c r="H41" s="416">
        <v>31372</v>
      </c>
      <c r="I41" s="416">
        <v>28044</v>
      </c>
      <c r="J41" s="416">
        <v>22007</v>
      </c>
      <c r="K41" s="416">
        <v>20810</v>
      </c>
      <c r="L41" s="416">
        <v>14332</v>
      </c>
      <c r="M41" s="416">
        <v>13151</v>
      </c>
      <c r="N41" s="444"/>
      <c r="T41" s="556"/>
      <c r="V41" s="556"/>
    </row>
    <row r="42" spans="1:22" x14ac:dyDescent="0.25">
      <c r="A42" s="414" t="s">
        <v>335</v>
      </c>
      <c r="B42" s="415">
        <v>21522</v>
      </c>
      <c r="C42" s="415">
        <v>20994</v>
      </c>
      <c r="D42" s="416">
        <f t="shared" si="15"/>
        <v>22005</v>
      </c>
      <c r="E42" s="416">
        <f t="shared" si="15"/>
        <v>22754</v>
      </c>
      <c r="F42" s="416">
        <f t="shared" si="15"/>
        <v>24208</v>
      </c>
      <c r="G42" s="416">
        <f t="shared" si="15"/>
        <v>31848</v>
      </c>
      <c r="H42" s="416">
        <v>36034</v>
      </c>
      <c r="I42" s="416">
        <v>30336</v>
      </c>
      <c r="J42" s="416">
        <v>29692</v>
      </c>
      <c r="K42" s="416">
        <v>22278</v>
      </c>
      <c r="L42" s="416">
        <v>15679</v>
      </c>
      <c r="M42" s="416">
        <v>18113</v>
      </c>
      <c r="N42" s="444"/>
    </row>
    <row r="43" spans="1:22" x14ac:dyDescent="0.25">
      <c r="A43" s="414" t="s">
        <v>336</v>
      </c>
      <c r="B43" s="415">
        <v>22940</v>
      </c>
      <c r="C43" s="415">
        <v>22813</v>
      </c>
      <c r="D43" s="416">
        <f t="shared" si="15"/>
        <v>24244</v>
      </c>
      <c r="E43" s="416">
        <f t="shared" si="15"/>
        <v>23065</v>
      </c>
      <c r="F43" s="416">
        <f t="shared" si="15"/>
        <v>23476</v>
      </c>
      <c r="G43" s="416">
        <f t="shared" si="15"/>
        <v>29577</v>
      </c>
      <c r="H43" s="416">
        <v>29669</v>
      </c>
      <c r="I43" s="416">
        <v>27403</v>
      </c>
      <c r="J43" s="416">
        <v>25159</v>
      </c>
      <c r="K43" s="416">
        <v>18573</v>
      </c>
      <c r="L43" s="416">
        <v>16473</v>
      </c>
      <c r="M43" s="416">
        <v>18907</v>
      </c>
      <c r="N43" s="444"/>
    </row>
    <row r="44" spans="1:22" x14ac:dyDescent="0.25">
      <c r="A44" s="403" t="s">
        <v>338</v>
      </c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44"/>
    </row>
    <row r="45" spans="1:22" x14ac:dyDescent="0.25">
      <c r="A45" s="414" t="s">
        <v>333</v>
      </c>
      <c r="B45" s="415">
        <v>80101</v>
      </c>
      <c r="C45" s="415">
        <v>33949</v>
      </c>
      <c r="D45" s="416">
        <v>77742</v>
      </c>
      <c r="E45" s="416">
        <v>42762</v>
      </c>
      <c r="F45" s="416">
        <v>51581</v>
      </c>
      <c r="G45" s="416">
        <v>58691</v>
      </c>
      <c r="H45" s="416">
        <v>54636</v>
      </c>
      <c r="I45" s="416">
        <v>48150</v>
      </c>
      <c r="J45" s="416">
        <v>56071</v>
      </c>
      <c r="K45" s="416">
        <v>53726</v>
      </c>
      <c r="L45" s="416">
        <v>44739</v>
      </c>
      <c r="M45" s="416">
        <v>46238</v>
      </c>
      <c r="N45" s="444"/>
    </row>
    <row r="46" spans="1:22" x14ac:dyDescent="0.25">
      <c r="A46" s="414" t="s">
        <v>334</v>
      </c>
      <c r="B46" s="415">
        <v>49850</v>
      </c>
      <c r="C46" s="415">
        <v>48364</v>
      </c>
      <c r="D46" s="416">
        <v>47057</v>
      </c>
      <c r="E46" s="416">
        <v>46629</v>
      </c>
      <c r="F46" s="416">
        <v>50753</v>
      </c>
      <c r="G46" s="416">
        <v>55310</v>
      </c>
      <c r="H46" s="405">
        <v>55721</v>
      </c>
      <c r="I46" s="416">
        <v>53659</v>
      </c>
      <c r="J46" s="416">
        <v>45363</v>
      </c>
      <c r="K46" s="416">
        <v>44507</v>
      </c>
      <c r="L46" s="416">
        <v>40579</v>
      </c>
      <c r="M46" s="416">
        <v>37774</v>
      </c>
      <c r="N46" s="444"/>
    </row>
    <row r="47" spans="1:22" x14ac:dyDescent="0.25">
      <c r="A47" s="414" t="s">
        <v>335</v>
      </c>
      <c r="B47" s="415">
        <v>44526</v>
      </c>
      <c r="C47" s="415">
        <v>45219</v>
      </c>
      <c r="D47" s="416">
        <v>43950</v>
      </c>
      <c r="E47" s="416">
        <v>46353</v>
      </c>
      <c r="F47" s="416">
        <v>52413</v>
      </c>
      <c r="G47" s="416">
        <v>54249</v>
      </c>
      <c r="H47" s="405">
        <v>60400</v>
      </c>
      <c r="I47" s="416">
        <v>53477</v>
      </c>
      <c r="J47" s="416">
        <v>55136</v>
      </c>
      <c r="K47" s="416">
        <v>45788</v>
      </c>
      <c r="L47" s="416">
        <v>45832</v>
      </c>
      <c r="M47" s="416">
        <v>45161</v>
      </c>
      <c r="N47" s="444"/>
    </row>
    <row r="48" spans="1:22" ht="13" x14ac:dyDescent="0.3">
      <c r="A48" s="414" t="s">
        <v>336</v>
      </c>
      <c r="B48" s="415">
        <v>46529</v>
      </c>
      <c r="C48" s="415">
        <v>44132</v>
      </c>
      <c r="D48" s="416">
        <v>43548</v>
      </c>
      <c r="E48" s="416">
        <v>51463</v>
      </c>
      <c r="F48" s="416">
        <v>39890</v>
      </c>
      <c r="G48" s="416">
        <v>49754</v>
      </c>
      <c r="H48" s="428">
        <v>49754</v>
      </c>
      <c r="I48" s="416">
        <v>51287</v>
      </c>
      <c r="J48" s="416">
        <v>51906</v>
      </c>
      <c r="K48" s="416">
        <v>47887</v>
      </c>
      <c r="L48" s="416">
        <v>46104</v>
      </c>
      <c r="M48" s="416">
        <v>42606</v>
      </c>
      <c r="N48" s="444"/>
    </row>
    <row r="49" spans="1:14" x14ac:dyDescent="0.25">
      <c r="A49" s="403" t="s">
        <v>316</v>
      </c>
      <c r="N49" s="444"/>
    </row>
    <row r="50" spans="1:14" x14ac:dyDescent="0.25">
      <c r="A50" s="414" t="s">
        <v>333</v>
      </c>
      <c r="B50" s="414">
        <v>111573.36</v>
      </c>
      <c r="C50" s="414">
        <v>118212.69</v>
      </c>
      <c r="D50" s="403">
        <v>138211.57</v>
      </c>
      <c r="E50" s="403">
        <v>153507.92000000001</v>
      </c>
      <c r="F50" s="403">
        <v>187792.51</v>
      </c>
      <c r="G50" s="403">
        <v>243320.24</v>
      </c>
      <c r="H50" s="403">
        <v>284104.28999999998</v>
      </c>
      <c r="I50" s="403">
        <v>253680</v>
      </c>
      <c r="J50" s="403">
        <v>252457.05</v>
      </c>
      <c r="K50" s="403">
        <v>143739.59</v>
      </c>
      <c r="L50" s="403">
        <v>100979.67</v>
      </c>
      <c r="M50" s="403">
        <v>88183.31</v>
      </c>
      <c r="N50" s="444"/>
    </row>
    <row r="51" spans="1:14" x14ac:dyDescent="0.25">
      <c r="A51" s="414" t="s">
        <v>334</v>
      </c>
      <c r="B51" s="414">
        <v>133945.01</v>
      </c>
      <c r="C51" s="414">
        <v>132381.85999999999</v>
      </c>
      <c r="D51" s="403">
        <v>145923</v>
      </c>
      <c r="E51" s="403">
        <v>157531.38</v>
      </c>
      <c r="F51" s="403">
        <v>184296.39</v>
      </c>
      <c r="G51" s="403">
        <v>239336.8</v>
      </c>
      <c r="H51" s="403">
        <v>255881.34</v>
      </c>
      <c r="I51" s="403">
        <v>230222.72</v>
      </c>
      <c r="J51" s="403">
        <v>210132.59</v>
      </c>
      <c r="K51" s="403">
        <v>142024.79999999999</v>
      </c>
      <c r="L51" s="403">
        <v>116962.09</v>
      </c>
      <c r="M51" s="403">
        <v>115672.23</v>
      </c>
      <c r="N51" s="444"/>
    </row>
    <row r="52" spans="1:14" x14ac:dyDescent="0.25">
      <c r="A52" s="414" t="s">
        <v>335</v>
      </c>
      <c r="B52" s="414">
        <v>160153.53</v>
      </c>
      <c r="C52" s="414">
        <v>169907.13</v>
      </c>
      <c r="D52" s="403">
        <v>179291.61</v>
      </c>
      <c r="E52" s="403">
        <v>190239.75</v>
      </c>
      <c r="F52" s="403">
        <v>231014.23</v>
      </c>
      <c r="G52" s="403">
        <v>287952.2</v>
      </c>
      <c r="H52" s="403">
        <v>341454.56</v>
      </c>
      <c r="I52" s="403">
        <v>285240.65999999997</v>
      </c>
      <c r="J52" s="403">
        <v>280421.62</v>
      </c>
      <c r="K52" s="403">
        <v>193491.17</v>
      </c>
      <c r="L52" s="403">
        <v>144669.24</v>
      </c>
      <c r="M52" s="403">
        <v>160304.72</v>
      </c>
      <c r="N52" s="444"/>
    </row>
    <row r="53" spans="1:14" x14ac:dyDescent="0.25">
      <c r="A53" s="414" t="s">
        <v>336</v>
      </c>
      <c r="B53" s="414">
        <v>194488.07</v>
      </c>
      <c r="C53" s="414">
        <v>207897.39</v>
      </c>
      <c r="D53" s="403">
        <v>220065.95</v>
      </c>
      <c r="E53" s="403">
        <v>238262.09</v>
      </c>
      <c r="F53" s="403">
        <v>257506.63</v>
      </c>
      <c r="G53" s="403">
        <v>361045.83</v>
      </c>
      <c r="H53" s="403">
        <v>364172.91</v>
      </c>
      <c r="I53" s="403">
        <v>317786.89</v>
      </c>
      <c r="J53" s="403">
        <v>274872.56</v>
      </c>
      <c r="K53" s="403">
        <v>184635.09</v>
      </c>
      <c r="L53" s="403">
        <v>161359.19</v>
      </c>
      <c r="M53" s="403">
        <v>187824.12</v>
      </c>
      <c r="N53" s="444"/>
    </row>
  </sheetData>
  <pageMargins left="0.25" right="0.25" top="0.75" bottom="0.75" header="0.3" footer="0.3"/>
  <pageSetup scale="55" fitToHeight="0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workbookViewId="0"/>
  </sheetViews>
  <sheetFormatPr defaultColWidth="9.1796875" defaultRowHeight="15.5" x14ac:dyDescent="0.35"/>
  <cols>
    <col min="1" max="1" width="47" style="26" customWidth="1"/>
    <col min="2" max="6" width="11.81640625" style="26" customWidth="1"/>
    <col min="7" max="7" width="11.54296875" style="26" customWidth="1"/>
    <col min="8" max="8" width="12.1796875" style="26" customWidth="1"/>
    <col min="9" max="9" width="11.453125" style="26" customWidth="1"/>
    <col min="10" max="11" width="10.81640625" style="26" customWidth="1"/>
    <col min="12" max="12" width="12" style="26" customWidth="1"/>
    <col min="13" max="13" width="13.453125" style="26" customWidth="1"/>
    <col min="14" max="14" width="1.1796875" style="26" customWidth="1"/>
    <col min="15" max="15" width="14" style="26" customWidth="1"/>
    <col min="16" max="20" width="9.1796875" style="26"/>
    <col min="21" max="21" width="17.1796875" style="59" customWidth="1"/>
    <col min="22" max="22" width="12.81640625" style="26" customWidth="1"/>
    <col min="23" max="16384" width="9.1796875" style="26"/>
  </cols>
  <sheetData>
    <row r="1" spans="1:15" x14ac:dyDescent="0.35">
      <c r="A1" s="24" t="s">
        <v>50</v>
      </c>
      <c r="B1" s="25" t="s">
        <v>51</v>
      </c>
      <c r="L1" s="24"/>
      <c r="M1" s="24"/>
    </row>
    <row r="2" spans="1:15" x14ac:dyDescent="0.35">
      <c r="A2" s="24" t="s">
        <v>52</v>
      </c>
      <c r="B2" s="27">
        <v>40367</v>
      </c>
      <c r="C2" s="27">
        <v>40398</v>
      </c>
      <c r="D2" s="27">
        <v>40429</v>
      </c>
      <c r="E2" s="27">
        <v>40459</v>
      </c>
      <c r="F2" s="27">
        <v>40490</v>
      </c>
      <c r="G2" s="27">
        <v>40520</v>
      </c>
      <c r="H2" s="27">
        <v>40552</v>
      </c>
      <c r="I2" s="27">
        <v>40583</v>
      </c>
      <c r="J2" s="27">
        <v>40611</v>
      </c>
      <c r="K2" s="27">
        <v>40642</v>
      </c>
      <c r="L2" s="28">
        <v>40672</v>
      </c>
      <c r="M2" s="28">
        <v>40703</v>
      </c>
      <c r="N2" s="29"/>
      <c r="O2" s="30" t="s">
        <v>53</v>
      </c>
    </row>
    <row r="3" spans="1:15" x14ac:dyDescent="0.35">
      <c r="A3" s="26" t="s">
        <v>54</v>
      </c>
      <c r="B3" s="31" t="s">
        <v>55</v>
      </c>
      <c r="C3" s="31" t="s">
        <v>55</v>
      </c>
      <c r="D3" s="31" t="s">
        <v>55</v>
      </c>
      <c r="E3" s="31" t="s">
        <v>55</v>
      </c>
      <c r="F3" s="31" t="s">
        <v>55</v>
      </c>
      <c r="G3" s="31" t="s">
        <v>55</v>
      </c>
      <c r="H3" s="31" t="s">
        <v>55</v>
      </c>
      <c r="I3" s="31" t="s">
        <v>55</v>
      </c>
      <c r="J3" s="31" t="s">
        <v>55</v>
      </c>
      <c r="K3" s="31" t="s">
        <v>55</v>
      </c>
      <c r="L3" s="31" t="s">
        <v>55</v>
      </c>
      <c r="M3" s="32" t="s">
        <v>56</v>
      </c>
      <c r="O3" s="31" t="s">
        <v>57</v>
      </c>
    </row>
    <row r="4" spans="1:15" x14ac:dyDescent="0.35">
      <c r="A4" s="31" t="s">
        <v>58</v>
      </c>
      <c r="B4" s="31" t="s">
        <v>59</v>
      </c>
      <c r="C4" s="31" t="s">
        <v>59</v>
      </c>
      <c r="D4" s="31" t="s">
        <v>59</v>
      </c>
      <c r="E4" s="31" t="s">
        <v>59</v>
      </c>
      <c r="F4" s="31" t="s">
        <v>59</v>
      </c>
      <c r="G4" s="31" t="s">
        <v>59</v>
      </c>
      <c r="H4" s="31" t="s">
        <v>59</v>
      </c>
      <c r="I4" s="31" t="s">
        <v>59</v>
      </c>
      <c r="J4" s="31" t="s">
        <v>59</v>
      </c>
      <c r="K4" s="31" t="s">
        <v>59</v>
      </c>
      <c r="L4" s="31" t="s">
        <v>59</v>
      </c>
      <c r="M4" s="31" t="s">
        <v>59</v>
      </c>
    </row>
    <row r="5" spans="1:15" x14ac:dyDescent="0.35">
      <c r="A5" s="33" t="s">
        <v>60</v>
      </c>
      <c r="B5" s="34">
        <v>131.19999999999999</v>
      </c>
      <c r="C5" s="34">
        <v>276.2</v>
      </c>
      <c r="D5" s="34">
        <v>249.6</v>
      </c>
      <c r="E5" s="34">
        <v>299.39999999999998</v>
      </c>
      <c r="F5" s="34">
        <v>229.3</v>
      </c>
      <c r="G5" s="34">
        <v>204.8</v>
      </c>
      <c r="H5" s="34">
        <v>408.3</v>
      </c>
      <c r="I5" s="34">
        <v>184.9</v>
      </c>
      <c r="J5" s="34">
        <v>216.5</v>
      </c>
      <c r="K5" s="34">
        <v>400</v>
      </c>
      <c r="L5" s="34">
        <v>100</v>
      </c>
      <c r="M5" s="34">
        <v>350</v>
      </c>
      <c r="N5" s="34"/>
      <c r="O5" s="34">
        <f>SUM(B5:N5)</f>
        <v>3050.2</v>
      </c>
    </row>
    <row r="6" spans="1:15" x14ac:dyDescent="0.35">
      <c r="A6" s="35" t="s">
        <v>61</v>
      </c>
      <c r="B6" s="34">
        <v>276.10000000000002</v>
      </c>
      <c r="C6" s="34">
        <v>259.39999999999998</v>
      </c>
      <c r="D6" s="34">
        <v>337.1</v>
      </c>
      <c r="E6" s="34">
        <v>337.1</v>
      </c>
      <c r="F6" s="34">
        <v>163.1</v>
      </c>
      <c r="G6" s="34">
        <v>176.1</v>
      </c>
      <c r="H6" s="34">
        <v>236</v>
      </c>
      <c r="I6" s="34">
        <v>165.5</v>
      </c>
      <c r="J6" s="34">
        <v>211.3</v>
      </c>
      <c r="K6" s="34">
        <v>279.7</v>
      </c>
      <c r="L6" s="34">
        <v>115.4</v>
      </c>
      <c r="M6" s="34">
        <v>316.5</v>
      </c>
      <c r="N6" s="34"/>
      <c r="O6" s="34">
        <f t="shared" ref="O6:O20" si="0">SUM(B6:N6)</f>
        <v>2873.2999999999997</v>
      </c>
    </row>
    <row r="7" spans="1:15" x14ac:dyDescent="0.35">
      <c r="A7" s="35" t="s">
        <v>62</v>
      </c>
      <c r="B7" s="34">
        <v>581.4</v>
      </c>
      <c r="C7" s="34">
        <v>514.79999999999995</v>
      </c>
      <c r="D7" s="34">
        <v>417.5</v>
      </c>
      <c r="E7" s="34">
        <v>185.3</v>
      </c>
      <c r="F7" s="34">
        <v>78.7</v>
      </c>
      <c r="G7" s="34">
        <v>67.900000000000006</v>
      </c>
      <c r="H7" s="34">
        <v>142.9</v>
      </c>
      <c r="I7" s="34">
        <v>108.1</v>
      </c>
      <c r="J7" s="34">
        <v>66.8</v>
      </c>
      <c r="K7" s="34">
        <v>42.7</v>
      </c>
      <c r="L7" s="34">
        <v>64.7</v>
      </c>
      <c r="M7" s="34">
        <v>304.89999999999998</v>
      </c>
      <c r="N7" s="34"/>
      <c r="O7" s="34">
        <f t="shared" si="0"/>
        <v>2575.6999999999998</v>
      </c>
    </row>
    <row r="8" spans="1:15" x14ac:dyDescent="0.35">
      <c r="A8" s="35" t="s">
        <v>63</v>
      </c>
      <c r="B8" s="34">
        <v>85</v>
      </c>
      <c r="C8" s="34">
        <v>36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102</v>
      </c>
      <c r="N8" s="34"/>
      <c r="O8" s="34">
        <f t="shared" si="0"/>
        <v>223</v>
      </c>
    </row>
    <row r="9" spans="1:15" x14ac:dyDescent="0.35">
      <c r="A9" s="35" t="s">
        <v>64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/>
      <c r="O9" s="34">
        <f t="shared" si="0"/>
        <v>0</v>
      </c>
    </row>
    <row r="10" spans="1:15" x14ac:dyDescent="0.35">
      <c r="A10" s="35" t="s">
        <v>65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1</v>
      </c>
      <c r="N10" s="34"/>
      <c r="O10" s="34">
        <f t="shared" si="0"/>
        <v>1</v>
      </c>
    </row>
    <row r="11" spans="1:15" x14ac:dyDescent="0.35">
      <c r="A11" s="35" t="s">
        <v>66</v>
      </c>
      <c r="B11" s="34">
        <v>20.58</v>
      </c>
      <c r="C11" s="34">
        <v>51.68</v>
      </c>
      <c r="D11" s="34">
        <v>91.15</v>
      </c>
      <c r="E11" s="34">
        <v>98.31</v>
      </c>
      <c r="F11" s="34">
        <v>64.09</v>
      </c>
      <c r="G11" s="34">
        <v>94.9</v>
      </c>
      <c r="H11" s="34">
        <v>290.63</v>
      </c>
      <c r="I11" s="34">
        <v>182.73</v>
      </c>
      <c r="J11" s="34">
        <v>233.69</v>
      </c>
      <c r="K11" s="34">
        <v>171.05</v>
      </c>
      <c r="L11" s="34">
        <v>65.28</v>
      </c>
      <c r="M11" s="34">
        <v>43.04</v>
      </c>
      <c r="N11" s="34"/>
      <c r="O11" s="34">
        <f t="shared" si="0"/>
        <v>1407.1299999999999</v>
      </c>
    </row>
    <row r="12" spans="1:15" x14ac:dyDescent="0.35">
      <c r="A12" s="35" t="s">
        <v>67</v>
      </c>
      <c r="B12" s="34">
        <v>324.89999999999998</v>
      </c>
      <c r="C12" s="34">
        <v>323.39999999999998</v>
      </c>
      <c r="D12" s="34">
        <v>250.9</v>
      </c>
      <c r="E12" s="34">
        <v>116.4</v>
      </c>
      <c r="F12" s="34">
        <v>45</v>
      </c>
      <c r="G12" s="34">
        <v>61.1</v>
      </c>
      <c r="H12" s="34">
        <v>181.4</v>
      </c>
      <c r="I12" s="34">
        <v>105.3</v>
      </c>
      <c r="J12" s="34">
        <v>147.1</v>
      </c>
      <c r="K12" s="34">
        <v>123.9</v>
      </c>
      <c r="L12" s="34">
        <v>215.6</v>
      </c>
      <c r="M12" s="34">
        <v>185.8</v>
      </c>
      <c r="N12" s="34"/>
      <c r="O12" s="34">
        <f t="shared" si="0"/>
        <v>2080.7999999999997</v>
      </c>
    </row>
    <row r="13" spans="1:15" x14ac:dyDescent="0.35">
      <c r="A13" s="35" t="s">
        <v>68</v>
      </c>
      <c r="B13" s="34">
        <v>60.1</v>
      </c>
      <c r="C13" s="34">
        <v>50</v>
      </c>
      <c r="D13" s="34">
        <v>55.3</v>
      </c>
      <c r="E13" s="34">
        <v>77.099999999999994</v>
      </c>
      <c r="F13" s="34">
        <v>89.3</v>
      </c>
      <c r="G13" s="34">
        <v>104.4</v>
      </c>
      <c r="H13" s="34">
        <v>143.30000000000001</v>
      </c>
      <c r="I13" s="34">
        <v>24.4</v>
      </c>
      <c r="J13" s="34">
        <v>98.8</v>
      </c>
      <c r="K13" s="34">
        <v>111.4</v>
      </c>
      <c r="L13" s="34">
        <v>263.10000000000002</v>
      </c>
      <c r="M13" s="34">
        <v>342.3</v>
      </c>
      <c r="N13" s="34"/>
      <c r="O13" s="34">
        <f t="shared" si="0"/>
        <v>1419.4999999999998</v>
      </c>
    </row>
    <row r="14" spans="1:15" x14ac:dyDescent="0.35">
      <c r="A14" s="35" t="s">
        <v>69</v>
      </c>
      <c r="B14" s="34">
        <v>0</v>
      </c>
      <c r="C14" s="34">
        <v>-0.3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2.5</v>
      </c>
      <c r="L14" s="34">
        <v>142.19999999999999</v>
      </c>
      <c r="M14" s="34">
        <v>252.5</v>
      </c>
      <c r="N14" s="34"/>
      <c r="O14" s="34">
        <f t="shared" si="0"/>
        <v>396.9</v>
      </c>
    </row>
    <row r="15" spans="1:15" x14ac:dyDescent="0.35">
      <c r="A15" s="35" t="s">
        <v>70</v>
      </c>
      <c r="B15" s="34">
        <v>1025</v>
      </c>
      <c r="C15" s="34">
        <v>848.8</v>
      </c>
      <c r="D15" s="34">
        <v>650.4</v>
      </c>
      <c r="E15" s="34">
        <v>518.79999999999995</v>
      </c>
      <c r="F15" s="34">
        <v>338.1</v>
      </c>
      <c r="G15" s="34">
        <v>418.2</v>
      </c>
      <c r="H15" s="34">
        <v>455</v>
      </c>
      <c r="I15" s="34">
        <v>244.7</v>
      </c>
      <c r="J15" s="34">
        <v>359.2</v>
      </c>
      <c r="K15" s="34">
        <v>176.9</v>
      </c>
      <c r="L15" s="34">
        <v>674.9</v>
      </c>
      <c r="M15" s="34">
        <v>701.1</v>
      </c>
      <c r="N15" s="34"/>
      <c r="O15" s="34">
        <f t="shared" si="0"/>
        <v>6411.0999999999985</v>
      </c>
    </row>
    <row r="16" spans="1:15" x14ac:dyDescent="0.35">
      <c r="A16" s="35" t="s">
        <v>71</v>
      </c>
      <c r="B16" s="34">
        <v>34.6</v>
      </c>
      <c r="C16" s="34">
        <v>68.900000000000006</v>
      </c>
      <c r="D16" s="34">
        <v>65.2</v>
      </c>
      <c r="E16" s="34">
        <v>58.7</v>
      </c>
      <c r="F16" s="34">
        <v>30.3</v>
      </c>
      <c r="G16" s="34">
        <v>33.799999999999997</v>
      </c>
      <c r="H16" s="34">
        <v>68.3</v>
      </c>
      <c r="I16" s="34">
        <v>31.8</v>
      </c>
      <c r="J16" s="34">
        <v>60.3</v>
      </c>
      <c r="K16" s="34">
        <v>29.9</v>
      </c>
      <c r="L16" s="34">
        <v>32.200000000000003</v>
      </c>
      <c r="M16" s="34">
        <v>39.4</v>
      </c>
      <c r="N16" s="34"/>
      <c r="O16" s="34">
        <f t="shared" si="0"/>
        <v>553.4</v>
      </c>
    </row>
    <row r="17" spans="1:15" x14ac:dyDescent="0.35">
      <c r="A17" s="35" t="s">
        <v>72</v>
      </c>
      <c r="B17" s="34">
        <v>564.9</v>
      </c>
      <c r="C17" s="34">
        <v>826.8</v>
      </c>
      <c r="D17" s="34">
        <v>741.7</v>
      </c>
      <c r="E17" s="34">
        <v>264.8</v>
      </c>
      <c r="F17" s="34">
        <v>82.6</v>
      </c>
      <c r="G17" s="34">
        <v>53</v>
      </c>
      <c r="H17" s="34">
        <v>145.4</v>
      </c>
      <c r="I17" s="34">
        <v>66.2</v>
      </c>
      <c r="J17" s="34">
        <v>138.69999999999999</v>
      </c>
      <c r="K17" s="34">
        <v>71.2</v>
      </c>
      <c r="L17" s="34">
        <v>581</v>
      </c>
      <c r="M17" s="34">
        <v>486.4</v>
      </c>
      <c r="N17" s="34"/>
      <c r="O17" s="34">
        <f t="shared" si="0"/>
        <v>4022.6999999999994</v>
      </c>
    </row>
    <row r="18" spans="1:15" x14ac:dyDescent="0.35">
      <c r="A18" s="35" t="s">
        <v>73</v>
      </c>
      <c r="B18" s="34">
        <v>122.71</v>
      </c>
      <c r="C18" s="34">
        <v>298.45</v>
      </c>
      <c r="D18" s="34">
        <v>196.12</v>
      </c>
      <c r="E18" s="34">
        <v>129.28</v>
      </c>
      <c r="F18" s="34">
        <v>41.54</v>
      </c>
      <c r="G18" s="34">
        <v>35.76</v>
      </c>
      <c r="H18" s="34">
        <v>165.34</v>
      </c>
      <c r="I18" s="34">
        <v>44.59</v>
      </c>
      <c r="J18" s="34">
        <v>100.45</v>
      </c>
      <c r="K18" s="34">
        <v>50.56</v>
      </c>
      <c r="L18" s="34">
        <v>86.27</v>
      </c>
      <c r="M18" s="34">
        <v>118.37</v>
      </c>
      <c r="N18" s="34"/>
      <c r="O18" s="34">
        <f t="shared" si="0"/>
        <v>1389.44</v>
      </c>
    </row>
    <row r="19" spans="1:15" x14ac:dyDescent="0.35">
      <c r="A19" s="35" t="s">
        <v>74</v>
      </c>
      <c r="B19" s="34">
        <v>48.3</v>
      </c>
      <c r="C19" s="34">
        <v>25</v>
      </c>
      <c r="D19" s="34">
        <v>35.6</v>
      </c>
      <c r="E19" s="34">
        <v>35.6</v>
      </c>
      <c r="F19" s="34">
        <v>21.1</v>
      </c>
      <c r="G19" s="34">
        <v>18.2</v>
      </c>
      <c r="H19" s="34">
        <v>37.799999999999997</v>
      </c>
      <c r="I19" s="34">
        <v>19.100000000000001</v>
      </c>
      <c r="J19" s="34">
        <v>35.5</v>
      </c>
      <c r="K19" s="34">
        <v>22.2</v>
      </c>
      <c r="L19" s="34">
        <v>17</v>
      </c>
      <c r="M19" s="34">
        <v>16.100000000000001</v>
      </c>
      <c r="N19" s="34"/>
      <c r="O19" s="34">
        <f t="shared" si="0"/>
        <v>331.49999999999994</v>
      </c>
    </row>
    <row r="20" spans="1:15" x14ac:dyDescent="0.35">
      <c r="A20" s="35" t="s">
        <v>75</v>
      </c>
      <c r="B20" s="34">
        <v>6</v>
      </c>
      <c r="C20" s="34">
        <v>16</v>
      </c>
      <c r="D20" s="34">
        <v>16</v>
      </c>
      <c r="E20" s="34">
        <v>15</v>
      </c>
      <c r="F20" s="34">
        <v>9</v>
      </c>
      <c r="G20" s="34">
        <v>7</v>
      </c>
      <c r="H20" s="34">
        <v>15</v>
      </c>
      <c r="I20" s="34">
        <v>9</v>
      </c>
      <c r="J20" s="34">
        <v>16</v>
      </c>
      <c r="K20" s="34">
        <v>8</v>
      </c>
      <c r="L20" s="34">
        <v>6</v>
      </c>
      <c r="M20" s="34">
        <v>8</v>
      </c>
      <c r="N20" s="34"/>
      <c r="O20" s="34">
        <f t="shared" si="0"/>
        <v>131</v>
      </c>
    </row>
    <row r="21" spans="1:15" x14ac:dyDescent="0.35">
      <c r="A21" s="35"/>
      <c r="B21" s="36">
        <f>SUM(B5:B20)</f>
        <v>3280.79</v>
      </c>
      <c r="C21" s="36">
        <f t="shared" ref="C21:M21" si="1">SUM(C5:C20)</f>
        <v>3595.13</v>
      </c>
      <c r="D21" s="36">
        <f t="shared" si="1"/>
        <v>3106.57</v>
      </c>
      <c r="E21" s="36">
        <f t="shared" si="1"/>
        <v>2135.79</v>
      </c>
      <c r="F21" s="36">
        <f t="shared" si="1"/>
        <v>1192.1299999999997</v>
      </c>
      <c r="G21" s="36">
        <f t="shared" si="1"/>
        <v>1275.1599999999999</v>
      </c>
      <c r="H21" s="36">
        <f t="shared" si="1"/>
        <v>2289.3700000000003</v>
      </c>
      <c r="I21" s="36">
        <f t="shared" si="1"/>
        <v>1186.3199999999997</v>
      </c>
      <c r="J21" s="36">
        <f t="shared" si="1"/>
        <v>1684.34</v>
      </c>
      <c r="K21" s="36">
        <f t="shared" si="1"/>
        <v>1490.0100000000002</v>
      </c>
      <c r="L21" s="36">
        <f>SUM(L5:L20)</f>
        <v>2363.65</v>
      </c>
      <c r="M21" s="36">
        <f t="shared" si="1"/>
        <v>3267.41</v>
      </c>
      <c r="N21" s="34"/>
      <c r="O21" s="36">
        <f>SUM(O5:O20)</f>
        <v>26866.67</v>
      </c>
    </row>
    <row r="22" spans="1:15" x14ac:dyDescent="0.35">
      <c r="A22" s="35" t="s">
        <v>76</v>
      </c>
      <c r="B22" s="34"/>
      <c r="C22" s="34"/>
      <c r="E22" s="34"/>
      <c r="F22" s="34"/>
      <c r="G22" s="34"/>
      <c r="H22" s="34"/>
      <c r="I22" s="34"/>
      <c r="J22" s="34"/>
      <c r="K22" s="34"/>
      <c r="L22" s="37"/>
      <c r="M22" s="34"/>
      <c r="N22" s="34"/>
      <c r="O22" s="34">
        <f t="shared" ref="O22:O44" si="2">SUM(B22:N22)</f>
        <v>0</v>
      </c>
    </row>
    <row r="23" spans="1:15" x14ac:dyDescent="0.35">
      <c r="A23" s="35" t="s">
        <v>77</v>
      </c>
      <c r="B23" s="34">
        <v>35.941499999999998</v>
      </c>
      <c r="C23" s="34">
        <v>386.39475000000004</v>
      </c>
      <c r="D23" s="34">
        <v>380.34675000000004</v>
      </c>
      <c r="E23" s="34">
        <v>425.15550000000002</v>
      </c>
      <c r="F23" s="34">
        <v>278.11349999999999</v>
      </c>
      <c r="G23" s="34">
        <v>172.71449999999999</v>
      </c>
      <c r="H23" s="34">
        <v>360.738</v>
      </c>
      <c r="I23" s="34">
        <v>264.58425</v>
      </c>
      <c r="J23" s="34">
        <v>426.69899999999996</v>
      </c>
      <c r="K23" s="34">
        <v>177.07724999999999</v>
      </c>
      <c r="L23" s="34">
        <v>41.973750000000003</v>
      </c>
      <c r="M23" s="34">
        <v>57.33</v>
      </c>
      <c r="N23" s="34"/>
      <c r="O23" s="34">
        <f t="shared" si="2"/>
        <v>3007.0687499999999</v>
      </c>
    </row>
    <row r="24" spans="1:15" x14ac:dyDescent="0.35">
      <c r="A24" s="35" t="s">
        <v>78</v>
      </c>
      <c r="B24" s="34">
        <v>35.941499999999998</v>
      </c>
      <c r="C24" s="34">
        <v>386.39475000000004</v>
      </c>
      <c r="D24" s="34">
        <v>380.34675000000004</v>
      </c>
      <c r="E24" s="34">
        <v>425.15550000000002</v>
      </c>
      <c r="F24" s="34">
        <v>278.11349999999999</v>
      </c>
      <c r="G24" s="34">
        <v>172.71449999999999</v>
      </c>
      <c r="H24" s="34">
        <v>360.738</v>
      </c>
      <c r="I24" s="34">
        <v>264.58425</v>
      </c>
      <c r="J24" s="34">
        <v>426.69899999999996</v>
      </c>
      <c r="K24" s="34">
        <v>177.07724999999999</v>
      </c>
      <c r="L24" s="34">
        <v>41.973750000000003</v>
      </c>
      <c r="M24" s="34">
        <v>57.33</v>
      </c>
      <c r="N24" s="34"/>
      <c r="O24" s="34">
        <f t="shared" si="2"/>
        <v>3007.0687499999999</v>
      </c>
    </row>
    <row r="25" spans="1:15" x14ac:dyDescent="0.35">
      <c r="A25" s="35" t="s">
        <v>79</v>
      </c>
      <c r="B25" s="34">
        <v>35.941499999999998</v>
      </c>
      <c r="C25" s="34">
        <v>386.39475000000004</v>
      </c>
      <c r="D25" s="34">
        <v>380.34675000000004</v>
      </c>
      <c r="E25" s="34">
        <v>425.15550000000002</v>
      </c>
      <c r="F25" s="34">
        <v>278.11349999999999</v>
      </c>
      <c r="G25" s="34">
        <v>172.71449999999999</v>
      </c>
      <c r="H25" s="34">
        <v>360.738</v>
      </c>
      <c r="I25" s="34">
        <v>264.58425</v>
      </c>
      <c r="J25" s="34">
        <v>426.69899999999996</v>
      </c>
      <c r="K25" s="34">
        <v>177.07724999999999</v>
      </c>
      <c r="L25" s="34">
        <v>41.973750000000003</v>
      </c>
      <c r="M25" s="34">
        <v>57.33</v>
      </c>
      <c r="N25" s="34"/>
      <c r="O25" s="34">
        <f t="shared" si="2"/>
        <v>3007.0687499999999</v>
      </c>
    </row>
    <row r="26" spans="1:15" x14ac:dyDescent="0.35">
      <c r="A26" s="35" t="s">
        <v>80</v>
      </c>
      <c r="B26" s="34">
        <v>35.941499999999998</v>
      </c>
      <c r="C26" s="34">
        <v>386.39475000000004</v>
      </c>
      <c r="D26" s="34">
        <v>380.34675000000004</v>
      </c>
      <c r="E26" s="34">
        <v>425.15550000000002</v>
      </c>
      <c r="F26" s="34">
        <v>278.11349999999999</v>
      </c>
      <c r="G26" s="34">
        <v>172.71449999999999</v>
      </c>
      <c r="H26" s="34">
        <v>360.738</v>
      </c>
      <c r="I26" s="34">
        <v>264.58425</v>
      </c>
      <c r="J26" s="34">
        <v>426.69899999999996</v>
      </c>
      <c r="K26" s="34">
        <v>177.07724999999999</v>
      </c>
      <c r="L26" s="34">
        <v>41.973750000000003</v>
      </c>
      <c r="M26" s="34">
        <v>57.33</v>
      </c>
      <c r="N26" s="34"/>
      <c r="O26" s="34">
        <f t="shared" si="2"/>
        <v>3007.0687499999999</v>
      </c>
    </row>
    <row r="27" spans="1:15" x14ac:dyDescent="0.35">
      <c r="A27" s="35" t="s">
        <v>81</v>
      </c>
      <c r="B27" s="34">
        <v>84.433999999999997</v>
      </c>
      <c r="C27" s="34">
        <v>907.721</v>
      </c>
      <c r="D27" s="34">
        <v>893.51300000000003</v>
      </c>
      <c r="E27" s="34">
        <v>998.77800000000002</v>
      </c>
      <c r="F27" s="34">
        <v>653.346</v>
      </c>
      <c r="G27" s="34">
        <v>405.74199999999996</v>
      </c>
      <c r="H27" s="34">
        <v>847.44799999999998</v>
      </c>
      <c r="I27" s="34">
        <v>621.56299999999999</v>
      </c>
      <c r="J27" s="34">
        <v>1002.4039999999999</v>
      </c>
      <c r="K27" s="34">
        <v>415.99099999999999</v>
      </c>
      <c r="L27" s="34">
        <v>98.605000000000004</v>
      </c>
      <c r="M27" s="34">
        <v>134.68</v>
      </c>
      <c r="N27" s="34"/>
      <c r="O27" s="34">
        <f t="shared" si="2"/>
        <v>7064.2249999999995</v>
      </c>
    </row>
    <row r="28" spans="1:15" x14ac:dyDescent="0.35">
      <c r="A28" s="35" t="s">
        <v>82</v>
      </c>
      <c r="B28" s="34">
        <v>22.385000000000002</v>
      </c>
      <c r="C28" s="34">
        <v>304.745</v>
      </c>
      <c r="D28" s="34">
        <v>317.89999999999998</v>
      </c>
      <c r="E28" s="34">
        <v>259.375</v>
      </c>
      <c r="F28" s="34">
        <v>318.48</v>
      </c>
      <c r="G28" s="34">
        <v>115.02</v>
      </c>
      <c r="H28" s="34">
        <v>291.05</v>
      </c>
      <c r="I28" s="34">
        <v>200.995</v>
      </c>
      <c r="J28" s="34">
        <v>325.29500000000002</v>
      </c>
      <c r="K28" s="34">
        <v>126</v>
      </c>
      <c r="L28" s="34">
        <v>40</v>
      </c>
      <c r="M28" s="34">
        <v>30</v>
      </c>
      <c r="N28" s="34"/>
      <c r="O28" s="34">
        <f t="shared" si="2"/>
        <v>2351.2449999999999</v>
      </c>
    </row>
    <row r="29" spans="1:15" x14ac:dyDescent="0.35">
      <c r="A29" s="35" t="s">
        <v>83</v>
      </c>
      <c r="B29" s="34">
        <v>22.385000000000002</v>
      </c>
      <c r="C29" s="34">
        <v>304.745</v>
      </c>
      <c r="D29" s="34">
        <v>317.89999999999998</v>
      </c>
      <c r="E29" s="34">
        <v>259.375</v>
      </c>
      <c r="F29" s="34">
        <v>318.48</v>
      </c>
      <c r="G29" s="34">
        <v>115.02</v>
      </c>
      <c r="H29" s="34">
        <v>291.05</v>
      </c>
      <c r="I29" s="34">
        <v>200.995</v>
      </c>
      <c r="J29" s="34">
        <v>325.29500000000002</v>
      </c>
      <c r="K29" s="34">
        <v>126</v>
      </c>
      <c r="L29" s="34">
        <v>40</v>
      </c>
      <c r="M29" s="34">
        <v>28</v>
      </c>
      <c r="N29" s="34"/>
      <c r="O29" s="34">
        <f t="shared" si="2"/>
        <v>2349.2449999999999</v>
      </c>
    </row>
    <row r="30" spans="1:15" x14ac:dyDescent="0.35">
      <c r="A30" s="38" t="s">
        <v>84</v>
      </c>
      <c r="B30" s="34">
        <v>674.75599999999997</v>
      </c>
      <c r="C30" s="34">
        <v>700</v>
      </c>
      <c r="D30" s="34">
        <v>1250</v>
      </c>
      <c r="E30" s="34">
        <v>281.60000000000002</v>
      </c>
      <c r="F30" s="34">
        <v>766.3202</v>
      </c>
      <c r="G30" s="34">
        <v>66.87360000000001</v>
      </c>
      <c r="H30" s="34">
        <v>510.92599999999999</v>
      </c>
      <c r="I30" s="34">
        <v>352.858</v>
      </c>
      <c r="J30" s="34">
        <v>447.54399999999998</v>
      </c>
      <c r="K30" s="34">
        <v>484.26600000000002</v>
      </c>
      <c r="L30" s="34">
        <v>623.58600000000001</v>
      </c>
      <c r="M30" s="34">
        <v>728</v>
      </c>
      <c r="N30" s="34"/>
      <c r="O30" s="34">
        <f t="shared" si="2"/>
        <v>6886.7298000000001</v>
      </c>
    </row>
    <row r="31" spans="1:15" x14ac:dyDescent="0.35">
      <c r="A31" s="35" t="s">
        <v>85</v>
      </c>
      <c r="B31" s="34">
        <v>109.84400000000001</v>
      </c>
      <c r="C31" s="34">
        <v>150</v>
      </c>
      <c r="D31" s="34">
        <v>270</v>
      </c>
      <c r="E31" s="34">
        <v>281.60000000000002</v>
      </c>
      <c r="F31" s="34">
        <v>124.74980000000002</v>
      </c>
      <c r="G31" s="34">
        <v>10.886400000000002</v>
      </c>
      <c r="H31" s="34">
        <v>83.174000000000007</v>
      </c>
      <c r="I31" s="34">
        <v>57.442000000000007</v>
      </c>
      <c r="J31" s="34">
        <v>72.856000000000009</v>
      </c>
      <c r="K31" s="34">
        <v>78.834000000000017</v>
      </c>
      <c r="L31" s="34">
        <v>101.51400000000001</v>
      </c>
      <c r="M31" s="34">
        <v>119</v>
      </c>
      <c r="N31" s="34"/>
      <c r="O31" s="34">
        <f t="shared" si="2"/>
        <v>1459.9002</v>
      </c>
    </row>
    <row r="32" spans="1:15" x14ac:dyDescent="0.35">
      <c r="A32" s="35" t="s">
        <v>86</v>
      </c>
      <c r="B32" s="34">
        <v>35.6</v>
      </c>
      <c r="C32" s="34">
        <v>60.1</v>
      </c>
      <c r="D32" s="34">
        <v>68</v>
      </c>
      <c r="E32" s="34">
        <v>57.1</v>
      </c>
      <c r="F32" s="34">
        <v>52</v>
      </c>
      <c r="G32" s="34">
        <v>21.3</v>
      </c>
      <c r="H32" s="34">
        <v>68.3</v>
      </c>
      <c r="I32" s="34">
        <v>41.6</v>
      </c>
      <c r="J32" s="34">
        <v>88.9</v>
      </c>
      <c r="K32" s="34">
        <v>61.1</v>
      </c>
      <c r="L32" s="34">
        <v>20.3</v>
      </c>
      <c r="M32" s="34">
        <v>54.7</v>
      </c>
      <c r="N32" s="34"/>
      <c r="O32" s="34">
        <f t="shared" si="2"/>
        <v>629</v>
      </c>
    </row>
    <row r="33" spans="1:15" x14ac:dyDescent="0.35">
      <c r="A33" s="35" t="s">
        <v>87</v>
      </c>
      <c r="B33" s="34">
        <v>30.3</v>
      </c>
      <c r="C33" s="34">
        <v>76.599999999999994</v>
      </c>
      <c r="D33" s="34">
        <v>100.6</v>
      </c>
      <c r="E33" s="34">
        <v>75</v>
      </c>
      <c r="F33" s="34">
        <v>85</v>
      </c>
      <c r="G33" s="34">
        <v>54.6</v>
      </c>
      <c r="H33" s="34">
        <v>96.2</v>
      </c>
      <c r="I33" s="34">
        <v>70.8</v>
      </c>
      <c r="J33" s="34">
        <v>96</v>
      </c>
      <c r="K33" s="34">
        <v>75.8</v>
      </c>
      <c r="L33" s="34">
        <v>54.4</v>
      </c>
      <c r="M33" s="34">
        <v>70.5</v>
      </c>
      <c r="N33" s="34"/>
      <c r="O33" s="34">
        <f t="shared" si="2"/>
        <v>885.8</v>
      </c>
    </row>
    <row r="34" spans="1:15" x14ac:dyDescent="0.35">
      <c r="A34" s="35" t="s">
        <v>88</v>
      </c>
      <c r="B34" s="34">
        <v>23.4</v>
      </c>
      <c r="C34" s="34">
        <v>312.8</v>
      </c>
      <c r="D34" s="34">
        <v>343.63</v>
      </c>
      <c r="E34" s="34">
        <v>388</v>
      </c>
      <c r="F34" s="34">
        <v>244.93</v>
      </c>
      <c r="G34" s="34">
        <v>101.95</v>
      </c>
      <c r="H34" s="34">
        <v>276.52</v>
      </c>
      <c r="I34" s="34">
        <v>197.9</v>
      </c>
      <c r="J34" s="34">
        <v>291.58</v>
      </c>
      <c r="K34" s="34">
        <v>149.55000000000001</v>
      </c>
      <c r="L34" s="34">
        <v>23.32</v>
      </c>
      <c r="M34" s="34">
        <v>45.53</v>
      </c>
      <c r="N34" s="34"/>
      <c r="O34" s="34">
        <f t="shared" si="2"/>
        <v>2399.1100000000006</v>
      </c>
    </row>
    <row r="35" spans="1:15" x14ac:dyDescent="0.35">
      <c r="A35" s="35" t="s">
        <v>89</v>
      </c>
      <c r="B35" s="34">
        <v>74.2</v>
      </c>
      <c r="C35" s="34">
        <v>1487.3</v>
      </c>
      <c r="D35" s="34">
        <v>154.63999999999999</v>
      </c>
      <c r="E35" s="34">
        <v>206.11</v>
      </c>
      <c r="F35" s="34">
        <v>157.08000000000001</v>
      </c>
      <c r="G35" s="34">
        <v>112.54</v>
      </c>
      <c r="H35" s="34">
        <v>182.08</v>
      </c>
      <c r="I35" s="34">
        <v>186.95</v>
      </c>
      <c r="J35" s="34">
        <v>215.01</v>
      </c>
      <c r="K35" s="34">
        <v>142.36000000000001</v>
      </c>
      <c r="L35" s="34">
        <v>40</v>
      </c>
      <c r="M35" s="34">
        <v>95</v>
      </c>
      <c r="N35" s="34"/>
      <c r="O35" s="34">
        <f t="shared" si="2"/>
        <v>3053.27</v>
      </c>
    </row>
    <row r="36" spans="1:15" x14ac:dyDescent="0.35">
      <c r="A36" s="35" t="s">
        <v>90</v>
      </c>
      <c r="B36" s="34">
        <v>150</v>
      </c>
      <c r="C36" s="34">
        <v>100</v>
      </c>
      <c r="D36" s="34">
        <v>117</v>
      </c>
      <c r="E36" s="34">
        <v>146</v>
      </c>
      <c r="F36" s="34">
        <v>108</v>
      </c>
      <c r="G36" s="34">
        <v>115</v>
      </c>
      <c r="H36" s="34">
        <v>209</v>
      </c>
      <c r="I36" s="34">
        <v>99</v>
      </c>
      <c r="J36" s="34">
        <v>147</v>
      </c>
      <c r="K36" s="34">
        <v>84</v>
      </c>
      <c r="L36" s="34">
        <v>68</v>
      </c>
      <c r="M36" s="34">
        <v>103</v>
      </c>
      <c r="N36" s="34"/>
      <c r="O36" s="34">
        <f t="shared" si="2"/>
        <v>1446</v>
      </c>
    </row>
    <row r="37" spans="1:15" x14ac:dyDescent="0.35">
      <c r="A37" s="35" t="s">
        <v>91</v>
      </c>
      <c r="B37" s="34">
        <v>207</v>
      </c>
      <c r="C37" s="34">
        <v>273</v>
      </c>
      <c r="D37" s="34">
        <v>194.5</v>
      </c>
      <c r="E37" s="34">
        <v>210.5</v>
      </c>
      <c r="F37" s="34">
        <v>156</v>
      </c>
      <c r="G37" s="34">
        <v>112.5</v>
      </c>
      <c r="H37" s="34">
        <v>154</v>
      </c>
      <c r="I37" s="34">
        <v>121.5</v>
      </c>
      <c r="J37" s="34">
        <v>169</v>
      </c>
      <c r="K37" s="34">
        <v>118</v>
      </c>
      <c r="L37" s="34">
        <v>142</v>
      </c>
      <c r="M37" s="34">
        <v>286</v>
      </c>
      <c r="N37" s="34"/>
      <c r="O37" s="34">
        <f t="shared" si="2"/>
        <v>2144</v>
      </c>
    </row>
    <row r="38" spans="1:15" x14ac:dyDescent="0.35">
      <c r="A38" s="35" t="s">
        <v>92</v>
      </c>
      <c r="B38" s="34">
        <v>253</v>
      </c>
      <c r="C38" s="34">
        <v>551</v>
      </c>
      <c r="D38" s="34">
        <v>444</v>
      </c>
      <c r="E38" s="34">
        <v>501</v>
      </c>
      <c r="F38" s="34">
        <v>419</v>
      </c>
      <c r="G38" s="34">
        <v>365</v>
      </c>
      <c r="H38" s="34">
        <v>461</v>
      </c>
      <c r="I38" s="34">
        <v>454</v>
      </c>
      <c r="J38" s="34">
        <v>576</v>
      </c>
      <c r="K38" s="34">
        <v>457</v>
      </c>
      <c r="L38" s="34">
        <v>345</v>
      </c>
      <c r="M38" s="34">
        <v>394</v>
      </c>
      <c r="N38" s="34"/>
      <c r="O38" s="34">
        <f t="shared" si="2"/>
        <v>5220</v>
      </c>
    </row>
    <row r="39" spans="1:15" x14ac:dyDescent="0.35">
      <c r="A39" s="35"/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50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/>
      <c r="O39" s="34"/>
    </row>
    <row r="40" spans="1:15" x14ac:dyDescent="0.35">
      <c r="A40" s="35" t="s">
        <v>93</v>
      </c>
      <c r="B40" s="34">
        <v>58</v>
      </c>
      <c r="C40" s="34">
        <v>170</v>
      </c>
      <c r="D40" s="34">
        <v>145</v>
      </c>
      <c r="E40" s="34">
        <v>205</v>
      </c>
      <c r="F40" s="34">
        <v>125</v>
      </c>
      <c r="G40" s="34">
        <v>73</v>
      </c>
      <c r="H40" s="34">
        <v>121</v>
      </c>
      <c r="I40" s="34">
        <v>91</v>
      </c>
      <c r="J40" s="34">
        <v>134</v>
      </c>
      <c r="K40" s="34">
        <v>78</v>
      </c>
      <c r="L40" s="34">
        <v>86</v>
      </c>
      <c r="M40" s="34">
        <v>111</v>
      </c>
      <c r="N40" s="34"/>
      <c r="O40" s="34">
        <f t="shared" si="2"/>
        <v>1397</v>
      </c>
    </row>
    <row r="41" spans="1:15" x14ac:dyDescent="0.35">
      <c r="A41" s="35" t="s">
        <v>94</v>
      </c>
      <c r="B41" s="34">
        <v>4.95</v>
      </c>
      <c r="C41" s="34">
        <v>238.7</v>
      </c>
      <c r="D41" s="34">
        <v>248.8</v>
      </c>
      <c r="E41" s="34">
        <v>281.60000000000002</v>
      </c>
      <c r="F41" s="34">
        <v>182.1</v>
      </c>
      <c r="G41" s="34">
        <v>84.4</v>
      </c>
      <c r="H41" s="34">
        <v>259.45</v>
      </c>
      <c r="I41" s="34">
        <v>171.9</v>
      </c>
      <c r="J41" s="34">
        <v>279.45</v>
      </c>
      <c r="K41" s="34">
        <v>105.35</v>
      </c>
      <c r="L41" s="34">
        <v>40</v>
      </c>
      <c r="M41" s="34">
        <v>23</v>
      </c>
      <c r="N41" s="34"/>
      <c r="O41" s="34">
        <f t="shared" si="2"/>
        <v>1919.7</v>
      </c>
    </row>
    <row r="42" spans="1:15" x14ac:dyDescent="0.35">
      <c r="A42" s="35" t="s">
        <v>95</v>
      </c>
      <c r="B42" s="34">
        <v>4.95</v>
      </c>
      <c r="C42" s="34">
        <v>238.7</v>
      </c>
      <c r="D42" s="34">
        <v>248.8</v>
      </c>
      <c r="E42" s="34">
        <v>281.60000000000002</v>
      </c>
      <c r="F42" s="34">
        <v>182.1</v>
      </c>
      <c r="G42" s="34">
        <v>84.4</v>
      </c>
      <c r="H42" s="34">
        <v>259.45</v>
      </c>
      <c r="I42" s="34">
        <v>171.9</v>
      </c>
      <c r="J42" s="34">
        <v>279.45</v>
      </c>
      <c r="K42" s="34">
        <v>105.35</v>
      </c>
      <c r="L42" s="34">
        <v>40</v>
      </c>
      <c r="M42" s="34">
        <v>25</v>
      </c>
      <c r="N42" s="34"/>
      <c r="O42" s="34">
        <f t="shared" si="2"/>
        <v>1921.7</v>
      </c>
    </row>
    <row r="43" spans="1:15" x14ac:dyDescent="0.35">
      <c r="A43" s="35" t="s">
        <v>96</v>
      </c>
      <c r="B43" s="37">
        <v>64.86</v>
      </c>
      <c r="C43" s="34">
        <v>26</v>
      </c>
      <c r="D43" s="34">
        <v>26</v>
      </c>
      <c r="E43" s="34">
        <v>32</v>
      </c>
      <c r="F43" s="34">
        <v>18</v>
      </c>
      <c r="G43" s="34">
        <v>9</v>
      </c>
      <c r="H43" s="34">
        <v>23</v>
      </c>
      <c r="I43" s="34">
        <v>15</v>
      </c>
      <c r="J43" s="34">
        <v>39</v>
      </c>
      <c r="K43" s="34">
        <v>236.69</v>
      </c>
      <c r="L43" s="34">
        <v>86.23</v>
      </c>
      <c r="M43" s="34">
        <v>65.61</v>
      </c>
      <c r="N43" s="34"/>
      <c r="O43" s="34">
        <f t="shared" si="2"/>
        <v>641.39</v>
      </c>
    </row>
    <row r="44" spans="1:15" x14ac:dyDescent="0.35">
      <c r="A44" s="38" t="s">
        <v>97</v>
      </c>
      <c r="B44" s="39">
        <v>1</v>
      </c>
      <c r="C44" s="39">
        <v>319.48</v>
      </c>
      <c r="D44" s="34">
        <v>317.23</v>
      </c>
      <c r="E44" s="39">
        <v>384</v>
      </c>
      <c r="F44" s="39">
        <v>236.52</v>
      </c>
      <c r="G44" s="39">
        <v>175.19</v>
      </c>
      <c r="H44" s="39">
        <v>315.60000000000002</v>
      </c>
      <c r="I44" s="39">
        <v>247</v>
      </c>
      <c r="J44" s="39">
        <v>579</v>
      </c>
      <c r="K44" s="39">
        <v>19</v>
      </c>
      <c r="L44" s="34">
        <v>1</v>
      </c>
      <c r="M44" s="39">
        <v>1</v>
      </c>
      <c r="N44" s="34"/>
      <c r="O44" s="34">
        <f t="shared" si="2"/>
        <v>2596.02</v>
      </c>
    </row>
    <row r="45" spans="1:15" x14ac:dyDescent="0.35">
      <c r="A45" s="35"/>
      <c r="B45" s="34">
        <f>SUM(B22:B44)</f>
        <v>1964.83</v>
      </c>
      <c r="C45" s="34">
        <f t="shared" ref="C45:K45" si="3">SUM(C23:C44)</f>
        <v>7766.4699999999993</v>
      </c>
      <c r="D45" s="36">
        <f>SUM(D24:D44)</f>
        <v>6598.5532500000008</v>
      </c>
      <c r="E45" s="34">
        <f t="shared" si="3"/>
        <v>6549.26</v>
      </c>
      <c r="F45" s="34">
        <f t="shared" si="3"/>
        <v>5259.5600000000013</v>
      </c>
      <c r="G45" s="34">
        <f t="shared" si="3"/>
        <v>2763.28</v>
      </c>
      <c r="H45" s="34">
        <f t="shared" si="3"/>
        <v>5892.2000000000007</v>
      </c>
      <c r="I45" s="34">
        <f t="shared" si="3"/>
        <v>4360.74</v>
      </c>
      <c r="J45" s="34">
        <f t="shared" si="3"/>
        <v>6774.58</v>
      </c>
      <c r="K45" s="34">
        <f t="shared" si="3"/>
        <v>3571.6000000000004</v>
      </c>
      <c r="L45" s="36">
        <f>SUM(L23:L44)</f>
        <v>2017.85</v>
      </c>
      <c r="M45" s="34">
        <f>SUM(M23:M44)</f>
        <v>2543.34</v>
      </c>
      <c r="N45" s="34"/>
      <c r="O45" s="36">
        <f>SUM(O22:O44)</f>
        <v>56392.609999999986</v>
      </c>
    </row>
    <row r="46" spans="1:15" x14ac:dyDescent="0.35">
      <c r="A46" s="3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7"/>
      <c r="M46" s="34"/>
      <c r="N46" s="34"/>
      <c r="O46" s="34"/>
    </row>
    <row r="47" spans="1:15" x14ac:dyDescent="0.35">
      <c r="A47" s="40" t="s">
        <v>57</v>
      </c>
      <c r="B47" s="34">
        <f>SUM(B45,B21)</f>
        <v>5245.62</v>
      </c>
      <c r="C47" s="34">
        <f>SUM(C45,C21)</f>
        <v>11361.599999999999</v>
      </c>
      <c r="D47" s="34">
        <f t="shared" ref="D47:K47" si="4">SUM(D45,D21)</f>
        <v>9705.1232500000006</v>
      </c>
      <c r="E47" s="34">
        <f t="shared" si="4"/>
        <v>8685.0499999999993</v>
      </c>
      <c r="F47" s="34">
        <f t="shared" si="4"/>
        <v>6451.6900000000005</v>
      </c>
      <c r="G47" s="34">
        <f t="shared" si="4"/>
        <v>4038.44</v>
      </c>
      <c r="H47" s="34">
        <f t="shared" si="4"/>
        <v>8181.5700000000015</v>
      </c>
      <c r="I47" s="34">
        <f t="shared" si="4"/>
        <v>5547.0599999999995</v>
      </c>
      <c r="J47" s="34">
        <f t="shared" si="4"/>
        <v>8458.92</v>
      </c>
      <c r="K47" s="34">
        <f t="shared" si="4"/>
        <v>5061.6100000000006</v>
      </c>
      <c r="L47" s="34">
        <f>SUM(L45,L21)</f>
        <v>4381.5</v>
      </c>
      <c r="M47" s="34">
        <f>SUM(M45,M21)</f>
        <v>5810.75</v>
      </c>
      <c r="N47" s="34"/>
      <c r="O47" s="34">
        <f>SUM(O21,O45)</f>
        <v>83259.279999999984</v>
      </c>
    </row>
    <row r="48" spans="1:15" x14ac:dyDescent="0.35">
      <c r="A48" s="35"/>
      <c r="B48" s="41" t="s">
        <v>98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7" x14ac:dyDescent="0.35">
      <c r="A49" s="40" t="s">
        <v>99</v>
      </c>
      <c r="B49" s="34">
        <v>6517</v>
      </c>
      <c r="C49" s="34">
        <v>10892</v>
      </c>
      <c r="D49" s="34">
        <v>9580</v>
      </c>
      <c r="E49" s="34">
        <v>10247</v>
      </c>
      <c r="F49" s="34">
        <v>6784</v>
      </c>
      <c r="G49" s="34">
        <v>4167</v>
      </c>
      <c r="H49" s="26">
        <v>11061</v>
      </c>
      <c r="I49" s="34">
        <v>4165</v>
      </c>
      <c r="J49" s="34">
        <v>8957</v>
      </c>
      <c r="K49" s="34">
        <v>6351</v>
      </c>
      <c r="L49" s="34">
        <v>3863</v>
      </c>
      <c r="M49" s="34">
        <v>6070</v>
      </c>
      <c r="O49" s="34">
        <f>SUM(B49:N49)</f>
        <v>88654</v>
      </c>
      <c r="Q49" s="34"/>
    </row>
    <row r="50" spans="1:17" x14ac:dyDescent="0.35">
      <c r="A50" s="40" t="s">
        <v>100</v>
      </c>
      <c r="B50" s="34">
        <v>6626</v>
      </c>
      <c r="C50" s="34">
        <v>14006</v>
      </c>
      <c r="D50" s="34">
        <v>10477</v>
      </c>
      <c r="E50" s="34">
        <v>8531</v>
      </c>
      <c r="F50" s="34">
        <v>6063</v>
      </c>
      <c r="G50" s="34">
        <v>4181</v>
      </c>
      <c r="H50" s="34">
        <v>8317</v>
      </c>
      <c r="I50" s="34">
        <v>7130</v>
      </c>
      <c r="J50" s="34">
        <v>8752</v>
      </c>
      <c r="K50" s="34">
        <v>6159</v>
      </c>
      <c r="L50" s="34">
        <v>6151</v>
      </c>
      <c r="M50" s="34">
        <v>6383</v>
      </c>
      <c r="N50" s="34"/>
      <c r="O50" s="34">
        <f>SUM(B50:N50)</f>
        <v>92776</v>
      </c>
      <c r="Q50" s="34"/>
    </row>
    <row r="51" spans="1:17" x14ac:dyDescent="0.35">
      <c r="A51" s="42" t="s">
        <v>101</v>
      </c>
      <c r="B51" s="43">
        <f>B47-B49</f>
        <v>-1271.3800000000001</v>
      </c>
      <c r="C51" s="43">
        <f t="shared" ref="C51:O51" si="5">C47-C49</f>
        <v>469.59999999999854</v>
      </c>
      <c r="D51" s="43">
        <f t="shared" si="5"/>
        <v>125.12325000000055</v>
      </c>
      <c r="E51" s="43">
        <f t="shared" si="5"/>
        <v>-1561.9500000000007</v>
      </c>
      <c r="F51" s="43">
        <f t="shared" si="5"/>
        <v>-332.30999999999949</v>
      </c>
      <c r="G51" s="43">
        <f t="shared" si="5"/>
        <v>-128.55999999999995</v>
      </c>
      <c r="H51" s="43">
        <f t="shared" si="5"/>
        <v>-2879.4299999999985</v>
      </c>
      <c r="I51" s="43">
        <f t="shared" si="5"/>
        <v>1382.0599999999995</v>
      </c>
      <c r="J51" s="43">
        <f t="shared" si="5"/>
        <v>-498.07999999999993</v>
      </c>
      <c r="K51" s="43">
        <f t="shared" si="5"/>
        <v>-1289.3899999999994</v>
      </c>
      <c r="L51" s="43">
        <f t="shared" si="5"/>
        <v>518.5</v>
      </c>
      <c r="M51" s="43">
        <f t="shared" si="5"/>
        <v>-259.25</v>
      </c>
      <c r="N51" s="36"/>
      <c r="O51" s="43">
        <f t="shared" si="5"/>
        <v>-5394.7200000000157</v>
      </c>
    </row>
    <row r="52" spans="1:17" x14ac:dyDescent="0.35">
      <c r="A52" s="40"/>
      <c r="B52" s="3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34"/>
      <c r="O52" s="34"/>
    </row>
    <row r="53" spans="1:17" x14ac:dyDescent="0.35">
      <c r="A53" s="35"/>
      <c r="B53" s="27">
        <v>40367</v>
      </c>
      <c r="C53" s="27">
        <v>40398</v>
      </c>
      <c r="D53" s="27">
        <v>40429</v>
      </c>
      <c r="E53" s="27">
        <v>40459</v>
      </c>
      <c r="F53" s="27">
        <v>40490</v>
      </c>
      <c r="G53" s="27">
        <v>40520</v>
      </c>
      <c r="H53" s="27">
        <v>40552</v>
      </c>
      <c r="I53" s="27">
        <v>40583</v>
      </c>
      <c r="J53" s="27">
        <v>40611</v>
      </c>
      <c r="K53" s="27">
        <v>40642</v>
      </c>
      <c r="L53" s="28">
        <v>40672</v>
      </c>
      <c r="M53" s="28">
        <v>40703</v>
      </c>
      <c r="N53" s="29"/>
      <c r="O53" s="30" t="s">
        <v>53</v>
      </c>
    </row>
    <row r="54" spans="1:17" x14ac:dyDescent="0.35">
      <c r="A54" s="35"/>
      <c r="B54" s="31" t="s">
        <v>55</v>
      </c>
      <c r="C54" s="31" t="s">
        <v>55</v>
      </c>
      <c r="D54" s="31" t="s">
        <v>55</v>
      </c>
      <c r="E54" s="31" t="s">
        <v>55</v>
      </c>
      <c r="F54" s="31" t="s">
        <v>55</v>
      </c>
      <c r="G54" s="31" t="s">
        <v>55</v>
      </c>
      <c r="H54" s="31" t="s">
        <v>55</v>
      </c>
      <c r="I54" s="31" t="s">
        <v>55</v>
      </c>
      <c r="J54" s="31" t="s">
        <v>55</v>
      </c>
      <c r="K54" s="31" t="s">
        <v>55</v>
      </c>
      <c r="L54" s="31" t="s">
        <v>55</v>
      </c>
      <c r="M54" s="32" t="s">
        <v>56</v>
      </c>
      <c r="O54" s="31" t="s">
        <v>57</v>
      </c>
    </row>
    <row r="55" spans="1:17" x14ac:dyDescent="0.35">
      <c r="A55" s="45" t="s">
        <v>102</v>
      </c>
      <c r="B55" s="31" t="s">
        <v>59</v>
      </c>
      <c r="C55" s="31" t="s">
        <v>59</v>
      </c>
      <c r="D55" s="31" t="s">
        <v>59</v>
      </c>
      <c r="E55" s="31" t="s">
        <v>59</v>
      </c>
      <c r="F55" s="31" t="s">
        <v>59</v>
      </c>
      <c r="G55" s="31" t="s">
        <v>59</v>
      </c>
      <c r="H55" s="31" t="s">
        <v>59</v>
      </c>
      <c r="I55" s="31" t="s">
        <v>59</v>
      </c>
      <c r="J55" s="31" t="s">
        <v>59</v>
      </c>
      <c r="K55" s="31" t="s">
        <v>59</v>
      </c>
      <c r="L55" s="31" t="s">
        <v>59</v>
      </c>
      <c r="M55" s="31" t="s">
        <v>59</v>
      </c>
      <c r="N55" s="34"/>
      <c r="O55" s="34"/>
    </row>
    <row r="56" spans="1:17" x14ac:dyDescent="0.35">
      <c r="A56" s="40" t="s">
        <v>103</v>
      </c>
      <c r="B56" s="34">
        <v>25</v>
      </c>
      <c r="C56" s="34">
        <v>17</v>
      </c>
      <c r="D56" s="46">
        <v>4</v>
      </c>
      <c r="E56" s="34">
        <v>7</v>
      </c>
      <c r="F56" s="34">
        <v>6</v>
      </c>
      <c r="G56" s="34">
        <v>4</v>
      </c>
      <c r="H56" s="34">
        <v>7</v>
      </c>
      <c r="I56" s="41">
        <v>7</v>
      </c>
      <c r="J56" s="34">
        <v>4</v>
      </c>
      <c r="K56" s="47">
        <v>6</v>
      </c>
      <c r="L56" s="34">
        <v>6</v>
      </c>
      <c r="M56" s="34">
        <v>25</v>
      </c>
      <c r="N56" s="34"/>
      <c r="O56" s="34">
        <f>SUM(B56:N56)</f>
        <v>118</v>
      </c>
    </row>
    <row r="57" spans="1:17" x14ac:dyDescent="0.35">
      <c r="A57" s="40" t="s">
        <v>104</v>
      </c>
      <c r="B57" s="34">
        <v>13</v>
      </c>
      <c r="C57" s="34">
        <v>10</v>
      </c>
      <c r="D57" s="46">
        <v>7</v>
      </c>
      <c r="E57" s="34">
        <v>8</v>
      </c>
      <c r="F57" s="34">
        <v>7</v>
      </c>
      <c r="G57" s="34">
        <v>8</v>
      </c>
      <c r="H57" s="34">
        <v>11</v>
      </c>
      <c r="I57" s="41">
        <v>11</v>
      </c>
      <c r="J57" s="34">
        <v>7</v>
      </c>
      <c r="K57" s="47">
        <v>8</v>
      </c>
      <c r="L57" s="34">
        <v>8</v>
      </c>
      <c r="M57" s="34">
        <v>13</v>
      </c>
      <c r="N57" s="34"/>
      <c r="O57" s="34">
        <f t="shared" ref="O57:O69" si="6">SUM(B57:N57)</f>
        <v>111</v>
      </c>
    </row>
    <row r="58" spans="1:17" x14ac:dyDescent="0.35">
      <c r="A58" s="40" t="s">
        <v>105</v>
      </c>
      <c r="B58" s="34">
        <v>0</v>
      </c>
      <c r="C58" s="34">
        <v>0</v>
      </c>
      <c r="D58" s="46">
        <v>0</v>
      </c>
      <c r="E58" s="34">
        <v>0</v>
      </c>
      <c r="F58" s="34">
        <v>0</v>
      </c>
      <c r="G58" s="34">
        <v>0</v>
      </c>
      <c r="H58" s="34"/>
      <c r="I58" s="41"/>
      <c r="J58" s="34">
        <v>0</v>
      </c>
      <c r="K58" s="47">
        <v>0</v>
      </c>
      <c r="L58" s="34">
        <v>0</v>
      </c>
      <c r="M58" s="34">
        <v>0</v>
      </c>
      <c r="N58" s="34"/>
      <c r="O58" s="34">
        <f t="shared" si="6"/>
        <v>0</v>
      </c>
    </row>
    <row r="59" spans="1:17" x14ac:dyDescent="0.35">
      <c r="A59" s="40" t="s">
        <v>106</v>
      </c>
      <c r="B59" s="34">
        <v>974</v>
      </c>
      <c r="C59" s="34">
        <v>678</v>
      </c>
      <c r="D59" s="46">
        <v>522</v>
      </c>
      <c r="E59" s="34">
        <v>536</v>
      </c>
      <c r="F59" s="34">
        <v>532</v>
      </c>
      <c r="G59" s="34">
        <v>619</v>
      </c>
      <c r="H59" s="34">
        <v>902</v>
      </c>
      <c r="I59" s="41">
        <v>800</v>
      </c>
      <c r="J59" s="34">
        <v>782</v>
      </c>
      <c r="K59" s="47">
        <v>693</v>
      </c>
      <c r="L59" s="34">
        <v>650</v>
      </c>
      <c r="M59" s="34">
        <v>1749</v>
      </c>
      <c r="N59" s="34"/>
      <c r="O59" s="34">
        <f t="shared" si="6"/>
        <v>9437</v>
      </c>
    </row>
    <row r="60" spans="1:17" x14ac:dyDescent="0.35">
      <c r="A60" s="40" t="s">
        <v>107</v>
      </c>
      <c r="B60" s="34">
        <v>2</v>
      </c>
      <c r="C60" s="34">
        <v>2</v>
      </c>
      <c r="D60" s="46">
        <v>2</v>
      </c>
      <c r="E60" s="34">
        <v>2</v>
      </c>
      <c r="F60" s="48">
        <v>-7</v>
      </c>
      <c r="G60" s="34">
        <v>1</v>
      </c>
      <c r="H60" s="34">
        <v>0</v>
      </c>
      <c r="I60" s="41">
        <v>0</v>
      </c>
      <c r="J60" s="34">
        <v>2</v>
      </c>
      <c r="K60" s="47">
        <v>1</v>
      </c>
      <c r="L60" s="34">
        <v>2</v>
      </c>
      <c r="M60" s="34">
        <v>1</v>
      </c>
      <c r="N60" s="34"/>
      <c r="O60" s="34">
        <f t="shared" si="6"/>
        <v>8</v>
      </c>
    </row>
    <row r="61" spans="1:17" x14ac:dyDescent="0.35">
      <c r="A61" s="40" t="s">
        <v>108</v>
      </c>
      <c r="B61" s="34">
        <v>0</v>
      </c>
      <c r="C61" s="34">
        <v>0</v>
      </c>
      <c r="D61" s="46">
        <v>0</v>
      </c>
      <c r="E61" s="34">
        <v>0</v>
      </c>
      <c r="F61" s="34">
        <v>1</v>
      </c>
      <c r="G61" s="34">
        <v>0</v>
      </c>
      <c r="H61" s="34">
        <v>5</v>
      </c>
      <c r="I61" s="41">
        <v>5</v>
      </c>
      <c r="J61" s="34">
        <v>0</v>
      </c>
      <c r="K61" s="47">
        <v>0</v>
      </c>
      <c r="L61" s="34">
        <v>0</v>
      </c>
      <c r="M61" s="34">
        <v>5</v>
      </c>
      <c r="N61" s="34"/>
      <c r="O61" s="34">
        <f t="shared" si="6"/>
        <v>16</v>
      </c>
    </row>
    <row r="62" spans="1:17" x14ac:dyDescent="0.35">
      <c r="A62" s="40" t="s">
        <v>109</v>
      </c>
      <c r="B62" s="34">
        <v>248</v>
      </c>
      <c r="C62" s="34">
        <v>184</v>
      </c>
      <c r="D62" s="46">
        <v>26</v>
      </c>
      <c r="E62" s="49">
        <v>33</v>
      </c>
      <c r="F62" s="34">
        <v>30</v>
      </c>
      <c r="G62" s="34">
        <v>31</v>
      </c>
      <c r="H62" s="34">
        <v>43</v>
      </c>
      <c r="I62" s="41">
        <v>43</v>
      </c>
      <c r="J62" s="34">
        <v>36</v>
      </c>
      <c r="K62" s="47">
        <v>32</v>
      </c>
      <c r="L62" s="34">
        <v>107</v>
      </c>
      <c r="M62" s="34">
        <v>214</v>
      </c>
      <c r="N62" s="34"/>
      <c r="O62" s="34">
        <f t="shared" si="6"/>
        <v>1027</v>
      </c>
    </row>
    <row r="63" spans="1:17" x14ac:dyDescent="0.35">
      <c r="A63" s="40" t="s">
        <v>110</v>
      </c>
      <c r="B63" s="34">
        <v>450</v>
      </c>
      <c r="C63" s="34">
        <v>1147</v>
      </c>
      <c r="D63" s="46">
        <v>450</v>
      </c>
      <c r="E63" s="34">
        <v>96</v>
      </c>
      <c r="F63" s="34">
        <v>141</v>
      </c>
      <c r="G63" s="34">
        <v>76</v>
      </c>
      <c r="H63" s="34">
        <v>231</v>
      </c>
      <c r="I63" s="41">
        <v>231</v>
      </c>
      <c r="J63" s="34">
        <v>224</v>
      </c>
      <c r="K63" s="47">
        <v>122</v>
      </c>
      <c r="L63" s="34">
        <v>208</v>
      </c>
      <c r="M63" s="34">
        <v>200</v>
      </c>
      <c r="N63" s="34"/>
      <c r="O63" s="34">
        <f t="shared" si="6"/>
        <v>3576</v>
      </c>
    </row>
    <row r="64" spans="1:17" x14ac:dyDescent="0.35">
      <c r="A64" s="40" t="s">
        <v>111</v>
      </c>
      <c r="B64" s="34">
        <v>0</v>
      </c>
      <c r="C64" s="34">
        <v>0</v>
      </c>
      <c r="D64" s="46">
        <v>0</v>
      </c>
      <c r="E64" s="34">
        <v>0</v>
      </c>
      <c r="F64" s="34">
        <v>0</v>
      </c>
      <c r="G64" s="34"/>
      <c r="H64" s="34"/>
      <c r="I64" s="41"/>
      <c r="J64" s="34">
        <v>0</v>
      </c>
      <c r="K64" s="47">
        <v>0</v>
      </c>
      <c r="L64" s="34">
        <v>0</v>
      </c>
      <c r="M64" s="34">
        <v>0</v>
      </c>
      <c r="N64" s="34"/>
      <c r="O64" s="34">
        <f t="shared" si="6"/>
        <v>0</v>
      </c>
    </row>
    <row r="65" spans="1:15" x14ac:dyDescent="0.35">
      <c r="A65" s="40" t="s">
        <v>112</v>
      </c>
      <c r="B65" s="34">
        <v>23</v>
      </c>
      <c r="C65" s="34">
        <v>0</v>
      </c>
      <c r="D65" s="46">
        <v>0</v>
      </c>
      <c r="E65" s="34">
        <v>64</v>
      </c>
      <c r="F65" s="34">
        <v>83</v>
      </c>
      <c r="G65" s="34">
        <v>53</v>
      </c>
      <c r="H65" s="34">
        <v>138</v>
      </c>
      <c r="I65" s="41">
        <v>138</v>
      </c>
      <c r="J65" s="34">
        <v>51</v>
      </c>
      <c r="K65" s="47">
        <v>0</v>
      </c>
      <c r="L65" s="34">
        <v>0</v>
      </c>
      <c r="M65" s="34">
        <v>0</v>
      </c>
      <c r="N65" s="34"/>
      <c r="O65" s="34">
        <f t="shared" si="6"/>
        <v>550</v>
      </c>
    </row>
    <row r="66" spans="1:15" x14ac:dyDescent="0.35">
      <c r="A66" s="40" t="s">
        <v>113</v>
      </c>
      <c r="B66" s="34">
        <v>8</v>
      </c>
      <c r="C66" s="34">
        <v>8</v>
      </c>
      <c r="D66" s="46">
        <v>8</v>
      </c>
      <c r="E66" s="34">
        <v>8</v>
      </c>
      <c r="F66" s="34">
        <v>1</v>
      </c>
      <c r="G66" s="34">
        <v>0</v>
      </c>
      <c r="H66" s="34">
        <v>1</v>
      </c>
      <c r="I66" s="41">
        <v>1</v>
      </c>
      <c r="J66" s="34">
        <v>0</v>
      </c>
      <c r="K66" s="47">
        <v>2</v>
      </c>
      <c r="L66" s="34">
        <v>3</v>
      </c>
      <c r="M66" s="34">
        <v>5</v>
      </c>
      <c r="N66" s="34"/>
      <c r="O66" s="34">
        <f t="shared" si="6"/>
        <v>45</v>
      </c>
    </row>
    <row r="67" spans="1:15" x14ac:dyDescent="0.35">
      <c r="A67" s="40" t="s">
        <v>114</v>
      </c>
      <c r="B67" s="34">
        <v>0</v>
      </c>
      <c r="C67" s="34">
        <v>0</v>
      </c>
      <c r="D67" s="50">
        <v>0</v>
      </c>
      <c r="E67" s="34">
        <v>0</v>
      </c>
      <c r="F67" s="34">
        <v>0</v>
      </c>
      <c r="G67" s="34">
        <v>0</v>
      </c>
      <c r="H67" s="34">
        <v>0</v>
      </c>
      <c r="I67" s="41">
        <v>0</v>
      </c>
      <c r="J67" s="34">
        <v>0</v>
      </c>
      <c r="K67" s="47">
        <v>0</v>
      </c>
      <c r="L67" s="34">
        <v>0</v>
      </c>
      <c r="M67" s="34">
        <v>0</v>
      </c>
      <c r="N67" s="34"/>
      <c r="O67" s="34">
        <f t="shared" si="6"/>
        <v>0</v>
      </c>
    </row>
    <row r="68" spans="1:15" x14ac:dyDescent="0.35">
      <c r="A68" s="40" t="s">
        <v>115</v>
      </c>
      <c r="B68" s="37">
        <v>0</v>
      </c>
      <c r="C68" s="37">
        <v>0</v>
      </c>
      <c r="D68" s="51">
        <v>0</v>
      </c>
      <c r="E68" s="37">
        <v>0</v>
      </c>
      <c r="F68" s="37">
        <v>0</v>
      </c>
      <c r="G68" s="37">
        <v>0</v>
      </c>
      <c r="H68" s="37">
        <v>0</v>
      </c>
      <c r="I68" s="52">
        <v>0</v>
      </c>
      <c r="J68" s="37">
        <v>0</v>
      </c>
      <c r="K68" s="53">
        <v>0</v>
      </c>
      <c r="L68" s="37">
        <v>0</v>
      </c>
      <c r="M68" s="37">
        <v>0</v>
      </c>
      <c r="N68" s="37"/>
      <c r="O68" s="34">
        <f t="shared" si="6"/>
        <v>0</v>
      </c>
    </row>
    <row r="69" spans="1:15" x14ac:dyDescent="0.35">
      <c r="A69" s="54" t="s">
        <v>116</v>
      </c>
      <c r="B69" s="26">
        <v>0</v>
      </c>
      <c r="C69" s="26">
        <v>0</v>
      </c>
      <c r="D69" s="51">
        <v>0</v>
      </c>
      <c r="E69" s="37">
        <v>0</v>
      </c>
      <c r="F69" s="37">
        <v>0</v>
      </c>
      <c r="G69" s="37">
        <v>0</v>
      </c>
      <c r="H69" s="37">
        <v>0</v>
      </c>
      <c r="I69" s="52">
        <v>0</v>
      </c>
      <c r="J69" s="37">
        <v>0</v>
      </c>
      <c r="K69" s="53">
        <v>0</v>
      </c>
      <c r="L69" s="37">
        <v>0</v>
      </c>
      <c r="M69" s="37">
        <v>0</v>
      </c>
      <c r="N69" s="37"/>
      <c r="O69" s="34">
        <f t="shared" si="6"/>
        <v>0</v>
      </c>
    </row>
    <row r="70" spans="1:15" x14ac:dyDescent="0.35">
      <c r="A70" s="40" t="s">
        <v>117</v>
      </c>
      <c r="B70" s="37">
        <v>0</v>
      </c>
      <c r="C70" s="37">
        <v>0</v>
      </c>
      <c r="D70" s="55">
        <v>0</v>
      </c>
      <c r="E70" s="55">
        <v>0</v>
      </c>
      <c r="F70" s="55">
        <v>0</v>
      </c>
      <c r="G70" s="55">
        <v>0</v>
      </c>
      <c r="H70" s="55">
        <v>2</v>
      </c>
      <c r="I70" s="56">
        <v>2</v>
      </c>
      <c r="J70" s="55">
        <v>1</v>
      </c>
      <c r="K70" s="55">
        <v>7</v>
      </c>
      <c r="L70" s="55">
        <v>53</v>
      </c>
      <c r="M70" s="55">
        <v>76</v>
      </c>
      <c r="N70" s="55"/>
      <c r="O70" s="39"/>
    </row>
    <row r="71" spans="1:15" x14ac:dyDescent="0.35">
      <c r="A71" s="54" t="s">
        <v>118</v>
      </c>
      <c r="B71" s="36">
        <f t="shared" ref="B71:M71" si="7">SUM(B56:B69)</f>
        <v>1743</v>
      </c>
      <c r="C71" s="36">
        <f t="shared" si="7"/>
        <v>2046</v>
      </c>
      <c r="D71" s="34">
        <f>SUM(D56:D70)</f>
        <v>1019</v>
      </c>
      <c r="E71" s="34">
        <f t="shared" si="7"/>
        <v>754</v>
      </c>
      <c r="F71" s="34">
        <f t="shared" si="7"/>
        <v>794</v>
      </c>
      <c r="G71" s="34">
        <f t="shared" si="7"/>
        <v>792</v>
      </c>
      <c r="H71" s="34">
        <f t="shared" si="7"/>
        <v>1338</v>
      </c>
      <c r="I71" s="41">
        <f t="shared" si="7"/>
        <v>1236</v>
      </c>
      <c r="J71" s="34">
        <f t="shared" si="7"/>
        <v>1106</v>
      </c>
      <c r="K71" s="34">
        <f t="shared" si="7"/>
        <v>864</v>
      </c>
      <c r="L71" s="34">
        <f t="shared" si="7"/>
        <v>984</v>
      </c>
      <c r="M71" s="34">
        <f t="shared" si="7"/>
        <v>2212</v>
      </c>
      <c r="N71" s="34"/>
      <c r="O71" s="34">
        <f>SUM(O56:O69)</f>
        <v>14888</v>
      </c>
    </row>
    <row r="72" spans="1:15" x14ac:dyDescent="0.35">
      <c r="A72" s="54" t="s">
        <v>119</v>
      </c>
      <c r="B72" s="34">
        <v>1355</v>
      </c>
      <c r="C72" s="34">
        <v>1303</v>
      </c>
      <c r="D72" s="34">
        <v>972</v>
      </c>
      <c r="E72" s="34">
        <v>613</v>
      </c>
      <c r="F72" s="34">
        <v>725</v>
      </c>
      <c r="G72" s="34">
        <v>662</v>
      </c>
      <c r="H72" s="34">
        <v>930</v>
      </c>
      <c r="I72" s="34">
        <v>745</v>
      </c>
      <c r="J72" s="34">
        <v>1152</v>
      </c>
      <c r="K72" s="34">
        <v>556</v>
      </c>
      <c r="L72" s="34">
        <v>2802</v>
      </c>
      <c r="M72" s="34">
        <v>2123</v>
      </c>
      <c r="N72" s="34"/>
      <c r="O72" s="34">
        <v>13742</v>
      </c>
    </row>
    <row r="73" spans="1:15" x14ac:dyDescent="0.35">
      <c r="A73" s="54" t="s">
        <v>120</v>
      </c>
      <c r="B73" s="44">
        <f>(B71-B72)/B72</f>
        <v>0.28634686346863469</v>
      </c>
      <c r="C73" s="44">
        <f t="shared" ref="C73:D73" si="8">(C71-C72)/C72</f>
        <v>0.57022256331542598</v>
      </c>
      <c r="D73" s="44">
        <f t="shared" si="8"/>
        <v>4.8353909465020578E-2</v>
      </c>
      <c r="E73" s="44">
        <f>(E71-E72)/E72</f>
        <v>0.23001631321370311</v>
      </c>
      <c r="F73" s="44">
        <f>(F71-F72)/F72</f>
        <v>9.5172413793103441E-2</v>
      </c>
      <c r="G73" s="44">
        <f>(G71-G72)/G72</f>
        <v>0.19637462235649547</v>
      </c>
      <c r="H73" s="44">
        <f t="shared" ref="H73:M73" si="9">(H71-H72)/H72</f>
        <v>0.43870967741935485</v>
      </c>
      <c r="I73" s="44">
        <f t="shared" si="9"/>
        <v>0.65906040268456378</v>
      </c>
      <c r="J73" s="57">
        <f t="shared" si="9"/>
        <v>-3.9930555555555552E-2</v>
      </c>
      <c r="K73" s="57">
        <f t="shared" si="9"/>
        <v>0.5539568345323741</v>
      </c>
      <c r="L73" s="57">
        <f t="shared" si="9"/>
        <v>-0.64882226980728053</v>
      </c>
      <c r="M73" s="44">
        <f t="shared" si="9"/>
        <v>4.1921808761187E-2</v>
      </c>
      <c r="N73" s="34"/>
      <c r="O73" s="34"/>
    </row>
    <row r="74" spans="1:15" x14ac:dyDescent="0.3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5" x14ac:dyDescent="0.35">
      <c r="A75" s="58" t="s">
        <v>121</v>
      </c>
      <c r="B75" s="34">
        <f t="shared" ref="B75:E76" si="10">SUM(B71,B49)</f>
        <v>8260</v>
      </c>
      <c r="C75" s="34">
        <f t="shared" si="10"/>
        <v>12938</v>
      </c>
      <c r="D75" s="34">
        <f t="shared" si="10"/>
        <v>10599</v>
      </c>
      <c r="E75" s="34">
        <f t="shared" si="10"/>
        <v>11001</v>
      </c>
      <c r="F75" s="34">
        <f>SUM(F71,F49)</f>
        <v>7578</v>
      </c>
      <c r="G75" s="34">
        <f t="shared" ref="G75:M75" si="11">SUM(G71,G49)</f>
        <v>4959</v>
      </c>
      <c r="H75" s="34">
        <f t="shared" si="11"/>
        <v>12399</v>
      </c>
      <c r="I75" s="34">
        <f t="shared" si="11"/>
        <v>5401</v>
      </c>
      <c r="J75" s="34">
        <f t="shared" si="11"/>
        <v>10063</v>
      </c>
      <c r="K75" s="34">
        <f t="shared" si="11"/>
        <v>7215</v>
      </c>
      <c r="L75" s="34">
        <f t="shared" si="11"/>
        <v>4847</v>
      </c>
      <c r="M75" s="34">
        <f t="shared" si="11"/>
        <v>8282</v>
      </c>
      <c r="N75" s="34"/>
      <c r="O75" s="520">
        <f>SUM(B75:N75)</f>
        <v>103542</v>
      </c>
    </row>
    <row r="76" spans="1:15" x14ac:dyDescent="0.35">
      <c r="A76" s="58" t="s">
        <v>122</v>
      </c>
      <c r="B76" s="34">
        <f t="shared" si="10"/>
        <v>7981</v>
      </c>
      <c r="C76" s="34">
        <f t="shared" si="10"/>
        <v>15309</v>
      </c>
      <c r="D76" s="34">
        <f t="shared" si="10"/>
        <v>11449</v>
      </c>
      <c r="E76" s="34">
        <v>9144</v>
      </c>
      <c r="F76" s="34">
        <v>6778</v>
      </c>
      <c r="G76" s="34">
        <v>4843</v>
      </c>
      <c r="H76" s="34">
        <v>9247</v>
      </c>
      <c r="I76" s="34">
        <v>7875</v>
      </c>
      <c r="J76" s="34">
        <v>9904</v>
      </c>
      <c r="K76" s="34">
        <v>6715</v>
      </c>
      <c r="L76" s="34">
        <v>6715</v>
      </c>
      <c r="M76" s="34">
        <v>6715</v>
      </c>
    </row>
    <row r="77" spans="1:15" x14ac:dyDescent="0.35">
      <c r="A77" s="58" t="s">
        <v>120</v>
      </c>
      <c r="B77" s="44">
        <f>(B75-B76)/B76</f>
        <v>3.4958025310111517E-2</v>
      </c>
      <c r="C77" s="57">
        <f>(C75-C76)/C76</f>
        <v>-0.15487621660461168</v>
      </c>
      <c r="D77" s="57">
        <f>(D75-D76)/D76</f>
        <v>-7.4242291903222984E-2</v>
      </c>
      <c r="E77" s="44">
        <f>(E75-E76)/E76</f>
        <v>0.20308398950131235</v>
      </c>
      <c r="F77" s="44">
        <f t="shared" ref="F77:M77" si="12">(F75-F76)/F76</f>
        <v>0.11802891708468574</v>
      </c>
      <c r="G77" s="44">
        <f t="shared" si="12"/>
        <v>2.3952095808383235E-2</v>
      </c>
      <c r="H77" s="44">
        <f t="shared" si="12"/>
        <v>0.34086730831621065</v>
      </c>
      <c r="I77" s="57">
        <f t="shared" si="12"/>
        <v>-0.31415873015873014</v>
      </c>
      <c r="J77" s="44">
        <f t="shared" si="12"/>
        <v>1.6054119547657512E-2</v>
      </c>
      <c r="K77" s="44">
        <f t="shared" si="12"/>
        <v>7.4460163812360383E-2</v>
      </c>
      <c r="L77" s="57">
        <f t="shared" si="12"/>
        <v>-0.27818317200297843</v>
      </c>
      <c r="M77" s="44">
        <f t="shared" si="12"/>
        <v>0.23335815338793744</v>
      </c>
    </row>
    <row r="78" spans="1:15" x14ac:dyDescent="0.35">
      <c r="A78" s="29"/>
    </row>
    <row r="79" spans="1:15" x14ac:dyDescent="0.35">
      <c r="A79" s="58" t="s">
        <v>123</v>
      </c>
      <c r="B79" s="50">
        <f>+B75</f>
        <v>8260</v>
      </c>
      <c r="C79" s="34">
        <f>B79+C75</f>
        <v>21198</v>
      </c>
      <c r="D79" s="34">
        <f>C79+D75</f>
        <v>31797</v>
      </c>
      <c r="E79" s="34">
        <f>D79+E75</f>
        <v>42798</v>
      </c>
      <c r="F79" s="34">
        <f>E79+F75</f>
        <v>50376</v>
      </c>
      <c r="G79" s="34">
        <f t="shared" ref="G79" si="13">F79+G75</f>
        <v>55335</v>
      </c>
      <c r="H79" s="34">
        <f>G79+H75</f>
        <v>67734</v>
      </c>
      <c r="I79" s="34">
        <f t="shared" ref="I79:J79" si="14">H79+I75</f>
        <v>73135</v>
      </c>
      <c r="J79" s="34">
        <f t="shared" si="14"/>
        <v>83198</v>
      </c>
      <c r="K79" s="34">
        <f>J79+K75</f>
        <v>90413</v>
      </c>
      <c r="L79" s="34">
        <f>K79+L75</f>
        <v>95260</v>
      </c>
      <c r="M79" s="34">
        <f>L79+M75</f>
        <v>103542</v>
      </c>
    </row>
  </sheetData>
  <pageMargins left="0.25" right="0.32" top="0.33" bottom="0.4" header="0.3" footer="0.3"/>
  <pageSetup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N359"/>
  <sheetViews>
    <sheetView topLeftCell="A7" workbookViewId="0"/>
  </sheetViews>
  <sheetFormatPr defaultColWidth="9.1796875" defaultRowHeight="15.5" x14ac:dyDescent="0.35"/>
  <cols>
    <col min="1" max="1" width="43.54296875" style="70" customWidth="1"/>
    <col min="2" max="2" width="12.453125" style="70" customWidth="1"/>
    <col min="3" max="7" width="15.81640625" style="70" customWidth="1"/>
    <col min="8" max="8" width="15.453125" style="265" customWidth="1"/>
    <col min="9" max="9" width="12.81640625" style="265" customWidth="1"/>
    <col min="10" max="11" width="12.81640625" style="267" customWidth="1"/>
    <col min="12" max="13" width="12.81640625" style="105" customWidth="1"/>
    <col min="14" max="14" width="12.81640625" style="88" customWidth="1"/>
    <col min="15" max="15" width="12.81640625" style="67" customWidth="1"/>
    <col min="16" max="16" width="9.1796875" style="67"/>
    <col min="17" max="17" width="42.54296875" style="67" customWidth="1"/>
    <col min="18" max="18" width="11.81640625" style="67" customWidth="1"/>
    <col min="19" max="23" width="15.81640625" style="67" customWidth="1"/>
    <col min="24" max="24" width="16.54296875" style="248" customWidth="1"/>
    <col min="25" max="26" width="15.81640625" style="248" customWidth="1"/>
    <col min="27" max="27" width="15.81640625" style="244" customWidth="1"/>
    <col min="28" max="28" width="15.81640625" style="93" customWidth="1"/>
    <col min="29" max="30" width="15.81640625" style="67" customWidth="1"/>
    <col min="31" max="31" width="12.453125" style="67" customWidth="1"/>
    <col min="32" max="32" width="12.81640625" style="67" bestFit="1" customWidth="1"/>
    <col min="33" max="33" width="9.1796875" style="67"/>
    <col min="34" max="34" width="41.81640625" style="67" customWidth="1"/>
    <col min="35" max="35" width="11.81640625" style="67" customWidth="1"/>
    <col min="36" max="36" width="11.1796875" style="67" customWidth="1"/>
    <col min="37" max="37" width="10.54296875" style="67" customWidth="1"/>
    <col min="38" max="38" width="48.1796875" style="328" customWidth="1"/>
    <col min="39" max="39" width="18.1796875" style="70" customWidth="1"/>
    <col min="40" max="40" width="21.54296875" style="70" customWidth="1"/>
    <col min="41" max="16384" width="9.1796875" style="67"/>
  </cols>
  <sheetData>
    <row r="1" spans="1:40" ht="18" x14ac:dyDescent="0.4">
      <c r="A1" s="60" t="s">
        <v>124</v>
      </c>
      <c r="B1" s="60"/>
      <c r="C1" s="61" t="s">
        <v>125</v>
      </c>
      <c r="D1" s="61" t="s">
        <v>126</v>
      </c>
      <c r="E1" s="61" t="s">
        <v>127</v>
      </c>
      <c r="F1" s="61" t="s">
        <v>128</v>
      </c>
      <c r="G1" s="61" t="s">
        <v>129</v>
      </c>
      <c r="H1" s="62" t="s">
        <v>130</v>
      </c>
      <c r="I1" s="63" t="s">
        <v>131</v>
      </c>
      <c r="J1" s="64" t="s">
        <v>132</v>
      </c>
      <c r="K1" s="64" t="s">
        <v>133</v>
      </c>
      <c r="L1" s="65" t="s">
        <v>134</v>
      </c>
      <c r="M1" s="66" t="s">
        <v>135</v>
      </c>
      <c r="N1" s="66" t="s">
        <v>136</v>
      </c>
      <c r="Q1" s="68" t="s">
        <v>137</v>
      </c>
      <c r="S1" s="61" t="s">
        <v>125</v>
      </c>
      <c r="T1" s="61" t="s">
        <v>126</v>
      </c>
      <c r="U1" s="61" t="s">
        <v>127</v>
      </c>
      <c r="V1" s="61" t="s">
        <v>128</v>
      </c>
      <c r="W1" s="61" t="s">
        <v>129</v>
      </c>
      <c r="X1" s="62" t="s">
        <v>130</v>
      </c>
      <c r="Y1" s="62" t="s">
        <v>131</v>
      </c>
      <c r="Z1" s="62" t="s">
        <v>132</v>
      </c>
      <c r="AA1" s="62" t="s">
        <v>133</v>
      </c>
      <c r="AB1" s="61" t="s">
        <v>134</v>
      </c>
      <c r="AC1" s="61" t="s">
        <v>135</v>
      </c>
      <c r="AD1" s="69" t="s">
        <v>136</v>
      </c>
      <c r="AH1" s="60"/>
      <c r="AI1" s="70"/>
      <c r="AJ1" s="70"/>
      <c r="AK1" s="70"/>
      <c r="AL1" s="71"/>
    </row>
    <row r="2" spans="1:40" x14ac:dyDescent="0.35">
      <c r="C2" s="72" t="s">
        <v>138</v>
      </c>
      <c r="D2" s="72" t="s">
        <v>138</v>
      </c>
      <c r="E2" s="72" t="s">
        <v>138</v>
      </c>
      <c r="F2" s="72" t="s">
        <v>138</v>
      </c>
      <c r="G2" s="72" t="s">
        <v>138</v>
      </c>
      <c r="H2" s="73" t="s">
        <v>138</v>
      </c>
      <c r="I2" s="73" t="s">
        <v>138</v>
      </c>
      <c r="J2" s="64" t="s">
        <v>138</v>
      </c>
      <c r="K2" s="64" t="s">
        <v>138</v>
      </c>
      <c r="L2" s="65" t="s">
        <v>138</v>
      </c>
      <c r="M2" s="66" t="s">
        <v>138</v>
      </c>
      <c r="N2" s="66" t="s">
        <v>138</v>
      </c>
      <c r="O2" s="69"/>
      <c r="S2" s="61" t="s">
        <v>139</v>
      </c>
      <c r="T2" s="61" t="s">
        <v>139</v>
      </c>
      <c r="U2" s="61" t="s">
        <v>139</v>
      </c>
      <c r="V2" s="61" t="s">
        <v>139</v>
      </c>
      <c r="W2" s="61" t="s">
        <v>139</v>
      </c>
      <c r="X2" s="62" t="s">
        <v>139</v>
      </c>
      <c r="Y2" s="62" t="s">
        <v>139</v>
      </c>
      <c r="Z2" s="62" t="s">
        <v>139</v>
      </c>
      <c r="AA2" s="62" t="s">
        <v>139</v>
      </c>
      <c r="AB2" s="61" t="s">
        <v>139</v>
      </c>
      <c r="AC2" s="61" t="s">
        <v>139</v>
      </c>
      <c r="AD2" s="61" t="s">
        <v>139</v>
      </c>
      <c r="AE2" s="69"/>
      <c r="AH2" s="70"/>
      <c r="AI2" s="70"/>
      <c r="AJ2" s="74"/>
      <c r="AK2" s="74"/>
      <c r="AL2" s="71"/>
      <c r="AM2" s="74"/>
      <c r="AN2" s="74"/>
    </row>
    <row r="3" spans="1:40" x14ac:dyDescent="0.35">
      <c r="A3" s="75"/>
      <c r="C3" s="76" t="s">
        <v>140</v>
      </c>
      <c r="D3" s="76" t="s">
        <v>141</v>
      </c>
      <c r="E3" s="76" t="s">
        <v>142</v>
      </c>
      <c r="F3" s="76" t="s">
        <v>143</v>
      </c>
      <c r="G3" s="76" t="s">
        <v>144</v>
      </c>
      <c r="H3" s="77" t="s">
        <v>145</v>
      </c>
      <c r="I3" s="78" t="s">
        <v>146</v>
      </c>
      <c r="J3" s="79" t="s">
        <v>147</v>
      </c>
      <c r="K3" s="79" t="s">
        <v>148</v>
      </c>
      <c r="L3" s="80" t="s">
        <v>149</v>
      </c>
      <c r="M3" s="80" t="s">
        <v>150</v>
      </c>
      <c r="N3" s="80" t="s">
        <v>151</v>
      </c>
      <c r="O3" s="81" t="s">
        <v>57</v>
      </c>
      <c r="Q3" s="75"/>
      <c r="S3" s="76" t="s">
        <v>140</v>
      </c>
      <c r="T3" s="76" t="s">
        <v>141</v>
      </c>
      <c r="U3" s="76" t="s">
        <v>142</v>
      </c>
      <c r="V3" s="76" t="s">
        <v>143</v>
      </c>
      <c r="W3" s="76" t="s">
        <v>144</v>
      </c>
      <c r="X3" s="77" t="s">
        <v>145</v>
      </c>
      <c r="Y3" s="77" t="s">
        <v>152</v>
      </c>
      <c r="Z3" s="77" t="s">
        <v>147</v>
      </c>
      <c r="AA3" s="77" t="s">
        <v>148</v>
      </c>
      <c r="AB3" s="76" t="s">
        <v>149</v>
      </c>
      <c r="AC3" s="76" t="s">
        <v>150</v>
      </c>
      <c r="AD3" s="82" t="s">
        <v>151</v>
      </c>
      <c r="AE3" s="83" t="s">
        <v>57</v>
      </c>
      <c r="AH3" s="70"/>
      <c r="AI3" s="70"/>
      <c r="AJ3" s="74"/>
      <c r="AK3" s="74"/>
      <c r="AL3" s="71"/>
      <c r="AM3" s="74" t="s">
        <v>134</v>
      </c>
      <c r="AN3" s="74"/>
    </row>
    <row r="4" spans="1:40" x14ac:dyDescent="0.35">
      <c r="A4" s="84" t="s">
        <v>153</v>
      </c>
      <c r="B4" s="84"/>
      <c r="C4" s="84"/>
      <c r="D4" s="84"/>
      <c r="E4" s="84"/>
      <c r="F4" s="84"/>
      <c r="G4" s="84"/>
      <c r="H4" s="85"/>
      <c r="I4" s="85"/>
      <c r="J4" s="86"/>
      <c r="K4" s="86"/>
      <c r="L4" s="87"/>
      <c r="M4" s="88"/>
      <c r="O4" s="89"/>
      <c r="Q4" s="84" t="s">
        <v>153</v>
      </c>
      <c r="R4" s="84"/>
      <c r="S4" s="90"/>
      <c r="T4" s="90"/>
      <c r="U4" s="90"/>
      <c r="V4" s="90"/>
      <c r="W4" s="90"/>
      <c r="X4" s="91"/>
      <c r="Y4" s="85"/>
      <c r="Z4" s="85"/>
      <c r="AA4" s="91"/>
      <c r="AB4" s="90"/>
      <c r="AC4" s="92"/>
      <c r="AD4" s="93"/>
      <c r="AE4" s="89"/>
      <c r="AH4" s="84"/>
      <c r="AI4" s="84"/>
      <c r="AJ4" s="94"/>
      <c r="AK4" s="94"/>
      <c r="AL4" s="71"/>
      <c r="AM4" s="94" t="s">
        <v>138</v>
      </c>
      <c r="AN4" s="94"/>
    </row>
    <row r="5" spans="1:40" x14ac:dyDescent="0.35">
      <c r="A5" s="95" t="s">
        <v>154</v>
      </c>
      <c r="B5" s="95"/>
      <c r="C5" s="96">
        <v>15</v>
      </c>
      <c r="D5" s="96">
        <v>22</v>
      </c>
      <c r="E5" s="96">
        <v>98</v>
      </c>
      <c r="F5" s="96">
        <v>158</v>
      </c>
      <c r="G5" s="96">
        <v>116</v>
      </c>
      <c r="H5" s="97">
        <v>136</v>
      </c>
      <c r="I5" s="97">
        <v>42</v>
      </c>
      <c r="J5" s="98">
        <v>38</v>
      </c>
      <c r="K5" s="98">
        <v>56</v>
      </c>
      <c r="L5" s="99">
        <v>23</v>
      </c>
      <c r="M5" s="88">
        <v>30</v>
      </c>
      <c r="N5" s="88">
        <v>21</v>
      </c>
      <c r="O5" s="100">
        <f>SUM(C5:N5)</f>
        <v>755</v>
      </c>
      <c r="Q5" s="95" t="s">
        <v>154</v>
      </c>
      <c r="R5" s="95"/>
      <c r="S5" s="101">
        <f>(C5/$C$67)*$S$76</f>
        <v>228.61296513331379</v>
      </c>
      <c r="T5" s="101">
        <f>(D5/$D$67)*$T$76</f>
        <v>424.27419173686326</v>
      </c>
      <c r="U5" s="101">
        <f>(E5/$E$67)*$U$76</f>
        <v>1314.2384914735462</v>
      </c>
      <c r="V5" s="101">
        <f>(F5/$F$67)*$V$76</f>
        <v>3152.5017636986304</v>
      </c>
      <c r="W5" s="101">
        <f>(G5/$G$67)*$W$76</f>
        <v>1797.5079091891894</v>
      </c>
      <c r="X5" s="102">
        <f>(H5/$H$67)*$X$76</f>
        <v>2146.5313783740617</v>
      </c>
      <c r="Y5" s="102">
        <f>(I5/$I$67)*$Y$76</f>
        <v>335.46342039800999</v>
      </c>
      <c r="Z5" s="102">
        <f>(J5/$J$67)*$Z$76</f>
        <v>623.99518841911765</v>
      </c>
      <c r="AA5" s="102">
        <f>(K5/$K$67)*$AA$76</f>
        <v>767.77825765575494</v>
      </c>
      <c r="AB5" s="101">
        <f>(L5/$L$67)*$AB$76</f>
        <v>294.83851426253887</v>
      </c>
      <c r="AC5" s="101">
        <f>(M5/$M$67)*$AC$76</f>
        <v>301.88094657233472</v>
      </c>
      <c r="AD5" s="101">
        <f>(N5/$N$67)*$AD$76</f>
        <v>190.40258532563891</v>
      </c>
      <c r="AE5" s="103">
        <f>SUM(S5:AD5)</f>
        <v>11578.025612239</v>
      </c>
      <c r="AH5" s="95"/>
      <c r="AI5" s="95"/>
      <c r="AJ5" s="104"/>
      <c r="AK5" s="70"/>
      <c r="AL5" s="71"/>
      <c r="AM5" s="72" t="s">
        <v>149</v>
      </c>
      <c r="AN5" s="105"/>
    </row>
    <row r="6" spans="1:40" x14ac:dyDescent="0.35">
      <c r="A6" s="95" t="s">
        <v>155</v>
      </c>
      <c r="B6" s="95"/>
      <c r="C6" s="96">
        <v>179</v>
      </c>
      <c r="D6" s="96">
        <v>133</v>
      </c>
      <c r="E6" s="96">
        <v>161</v>
      </c>
      <c r="F6" s="96">
        <v>229</v>
      </c>
      <c r="G6" s="96">
        <v>244</v>
      </c>
      <c r="H6" s="97">
        <v>323</v>
      </c>
      <c r="I6" s="97">
        <v>195</v>
      </c>
      <c r="J6" s="98">
        <v>191</v>
      </c>
      <c r="K6" s="98">
        <v>347</v>
      </c>
      <c r="L6" s="99">
        <v>292</v>
      </c>
      <c r="M6" s="88">
        <v>314</v>
      </c>
      <c r="N6" s="88">
        <v>197</v>
      </c>
      <c r="O6" s="100">
        <f t="shared" ref="O6:O22" si="0">SUM(C6:N6)</f>
        <v>2805</v>
      </c>
      <c r="Q6" s="95" t="s">
        <v>155</v>
      </c>
      <c r="R6" s="95"/>
      <c r="S6" s="101">
        <f>(C6/$C$67)*$S$76</f>
        <v>2728.1147172575447</v>
      </c>
      <c r="T6" s="101">
        <f>(D6/$D$67)*$T$76</f>
        <v>2564.9303409546733</v>
      </c>
      <c r="U6" s="101">
        <f>(E6/$E$67)*$U$76</f>
        <v>2159.1060931351117</v>
      </c>
      <c r="V6" s="101">
        <f>(F6/$F$67)*$V$76</f>
        <v>4569.1323030821923</v>
      </c>
      <c r="W6" s="101">
        <f>(G6/$G$67)*$W$76</f>
        <v>3780.9649124324328</v>
      </c>
      <c r="X6" s="102">
        <f>(H6/$H$67)*$X$76</f>
        <v>5098.0120236383964</v>
      </c>
      <c r="Y6" s="102">
        <f>(I6/$I$67)*$Y$76</f>
        <v>1557.5087375621893</v>
      </c>
      <c r="Z6" s="102">
        <f>(J6/$J$67)*$Z$76</f>
        <v>3136.3968681066171</v>
      </c>
      <c r="AA6" s="102">
        <f>(K6/$K$67)*$AA$76</f>
        <v>4757.4831322597674</v>
      </c>
      <c r="AB6" s="101">
        <f>(L6/$L$67)*$AB$76</f>
        <v>3743.1672245504933</v>
      </c>
      <c r="AC6" s="101">
        <f>(M6/$M$67)*$AC$76</f>
        <v>3159.6872407904366</v>
      </c>
      <c r="AD6" s="101">
        <f>(N6/$N$67)*$AD$76</f>
        <v>1786.1575861500412</v>
      </c>
      <c r="AE6" s="103">
        <f t="shared" ref="AE6:AE22" si="1">SUM(S6:AD6)</f>
        <v>39040.661179919894</v>
      </c>
      <c r="AH6" s="95"/>
      <c r="AI6" s="95"/>
      <c r="AJ6" s="104"/>
      <c r="AK6" s="70"/>
      <c r="AL6" s="71"/>
      <c r="AM6" s="104"/>
      <c r="AN6" s="105"/>
    </row>
    <row r="7" spans="1:40" x14ac:dyDescent="0.35">
      <c r="A7" s="95" t="s">
        <v>156</v>
      </c>
      <c r="B7" s="95"/>
      <c r="C7" s="96">
        <v>149</v>
      </c>
      <c r="D7" s="96">
        <v>84</v>
      </c>
      <c r="E7" s="96">
        <v>36</v>
      </c>
      <c r="F7" s="96">
        <v>21</v>
      </c>
      <c r="G7" s="96">
        <v>21</v>
      </c>
      <c r="H7" s="106">
        <v>15</v>
      </c>
      <c r="I7" s="97">
        <v>13</v>
      </c>
      <c r="J7" s="98">
        <v>14</v>
      </c>
      <c r="K7" s="98">
        <v>25</v>
      </c>
      <c r="L7" s="99">
        <v>80</v>
      </c>
      <c r="M7" s="88">
        <v>313</v>
      </c>
      <c r="N7" s="88">
        <v>249</v>
      </c>
      <c r="O7" s="100">
        <f t="shared" si="0"/>
        <v>1020</v>
      </c>
      <c r="Q7" s="95" t="s">
        <v>156</v>
      </c>
      <c r="R7" s="95"/>
      <c r="S7" s="101">
        <f>(C7/$C$67)*$S$76</f>
        <v>2270.8887869909167</v>
      </c>
      <c r="T7" s="101">
        <f>(D7/$D$67)*$T$76</f>
        <v>1619.9560048134776</v>
      </c>
      <c r="U7" s="101">
        <f>(E7/$E$67)*$U$76</f>
        <v>482.78148666375165</v>
      </c>
      <c r="V7" s="101">
        <f>(F7/$F$67)*$V$76</f>
        <v>419.00339897260272</v>
      </c>
      <c r="W7" s="101">
        <f>(G7/$G$67)*$W$76</f>
        <v>325.4109145945946</v>
      </c>
      <c r="X7" s="102">
        <f>(H7/$H$67)*$X$76</f>
        <v>236.7497843794921</v>
      </c>
      <c r="Y7" s="102">
        <f>(I7/$I$67)*$Y$76</f>
        <v>103.83391583747927</v>
      </c>
      <c r="Z7" s="102">
        <f>(J7/$J$67)*$Z$76</f>
        <v>229.89296415441174</v>
      </c>
      <c r="AA7" s="102">
        <f>(K7/$K$67)*$AA$76</f>
        <v>342.7581507391763</v>
      </c>
      <c r="AB7" s="101">
        <f>(L7/$L$67)*$AB$76</f>
        <v>1025.5252670001353</v>
      </c>
      <c r="AC7" s="101">
        <f>(M7/$M$67)*$AC$76</f>
        <v>3149.6245425713587</v>
      </c>
      <c r="AD7" s="101">
        <f>(N7/$N$67)*$AD$76</f>
        <v>2257.6306545754328</v>
      </c>
      <c r="AE7" s="103">
        <f t="shared" si="1"/>
        <v>12464.055871292829</v>
      </c>
      <c r="AH7" s="95"/>
      <c r="AI7" s="95"/>
      <c r="AJ7" s="104"/>
      <c r="AK7" s="70"/>
      <c r="AL7" s="95" t="s">
        <v>154</v>
      </c>
      <c r="AM7" s="88">
        <v>23</v>
      </c>
      <c r="AN7" s="105"/>
    </row>
    <row r="8" spans="1:40" x14ac:dyDescent="0.35">
      <c r="A8" s="95" t="s">
        <v>157</v>
      </c>
      <c r="B8" s="95"/>
      <c r="C8" s="107">
        <v>35</v>
      </c>
      <c r="D8" s="107">
        <v>35</v>
      </c>
      <c r="E8" s="107">
        <v>35</v>
      </c>
      <c r="F8" s="107">
        <v>35</v>
      </c>
      <c r="G8" s="107">
        <v>35</v>
      </c>
      <c r="H8" s="106">
        <v>35</v>
      </c>
      <c r="I8" s="106">
        <v>35</v>
      </c>
      <c r="J8" s="108">
        <v>35</v>
      </c>
      <c r="K8" s="108">
        <v>35</v>
      </c>
      <c r="L8" s="109">
        <v>35</v>
      </c>
      <c r="M8" s="110">
        <v>35</v>
      </c>
      <c r="N8" s="88">
        <v>35</v>
      </c>
      <c r="O8" s="100">
        <f t="shared" si="0"/>
        <v>420</v>
      </c>
      <c r="Q8" s="95" t="s">
        <v>157</v>
      </c>
      <c r="R8" s="95"/>
      <c r="S8" s="101">
        <f>(C8/$C$67)*$S$76</f>
        <v>533.43025197773227</v>
      </c>
      <c r="T8" s="101">
        <f>(D8/$D$67)*$T$76</f>
        <v>674.98166867228247</v>
      </c>
      <c r="U8" s="101">
        <f>(E8/$E$67)*$U$76</f>
        <v>469.37088981198076</v>
      </c>
      <c r="V8" s="101">
        <f>(F8/$F$67)*$V$76</f>
        <v>698.33899828767119</v>
      </c>
      <c r="W8" s="101">
        <f>(G8/$G$67)*$W$76</f>
        <v>542.35152432432437</v>
      </c>
      <c r="X8" s="102">
        <f>(H8/$H$67)*$X$76</f>
        <v>552.41616355214819</v>
      </c>
      <c r="Y8" s="102">
        <f>(I8/$I$67)*$Y$76</f>
        <v>279.55285033167496</v>
      </c>
      <c r="Z8" s="102">
        <f>(J8/$J$67)*$Z$76</f>
        <v>574.7324103860293</v>
      </c>
      <c r="AA8" s="102">
        <f>(K8/$K$67)*$AA$76</f>
        <v>479.86141103484687</v>
      </c>
      <c r="AB8" s="101">
        <f>(L8/$L$67)*$AB$76</f>
        <v>448.66730431255917</v>
      </c>
      <c r="AC8" s="101">
        <f>(M8/$M$67)*$AC$76</f>
        <v>352.19443766772378</v>
      </c>
      <c r="AD8" s="101">
        <f>(N8/$N$67)*$AD$76</f>
        <v>317.33764220939821</v>
      </c>
      <c r="AE8" s="103">
        <f t="shared" si="1"/>
        <v>5923.2355525683715</v>
      </c>
      <c r="AH8" s="95"/>
      <c r="AI8" s="95"/>
      <c r="AJ8" s="104"/>
      <c r="AK8" s="70"/>
      <c r="AL8" s="95" t="s">
        <v>155</v>
      </c>
      <c r="AM8" s="88">
        <v>292</v>
      </c>
      <c r="AN8" s="105"/>
    </row>
    <row r="9" spans="1:40" s="118" customFormat="1" x14ac:dyDescent="0.35">
      <c r="A9" s="111" t="s">
        <v>158</v>
      </c>
      <c r="B9" s="111" t="s">
        <v>159</v>
      </c>
      <c r="C9" s="112">
        <v>422</v>
      </c>
      <c r="D9" s="112">
        <v>380</v>
      </c>
      <c r="E9" s="112">
        <v>309</v>
      </c>
      <c r="F9" s="112">
        <v>431</v>
      </c>
      <c r="G9" s="112">
        <v>347</v>
      </c>
      <c r="H9" s="113">
        <v>516</v>
      </c>
      <c r="I9" s="113">
        <v>397</v>
      </c>
      <c r="J9" s="114">
        <v>348</v>
      </c>
      <c r="K9" s="114">
        <v>90</v>
      </c>
      <c r="L9" s="115">
        <v>93</v>
      </c>
      <c r="M9" s="116">
        <v>66</v>
      </c>
      <c r="N9" s="116">
        <v>136</v>
      </c>
      <c r="O9" s="117">
        <f t="shared" si="0"/>
        <v>3535</v>
      </c>
      <c r="Q9" s="111" t="s">
        <v>160</v>
      </c>
      <c r="R9" s="111" t="s">
        <v>159</v>
      </c>
      <c r="S9" s="119">
        <v>5091.22</v>
      </c>
      <c r="T9" s="119">
        <v>4590.16</v>
      </c>
      <c r="U9" s="119">
        <v>3743.13</v>
      </c>
      <c r="V9" s="119">
        <v>5198.59</v>
      </c>
      <c r="W9" s="119">
        <v>4196.47</v>
      </c>
      <c r="X9" s="120">
        <v>10212.64</v>
      </c>
      <c r="Y9" s="120">
        <v>4792.97</v>
      </c>
      <c r="Z9" s="120">
        <v>4208.3999999999996</v>
      </c>
      <c r="AA9" s="120">
        <v>1130.46</v>
      </c>
      <c r="AB9" s="119">
        <v>1166.25</v>
      </c>
      <c r="AC9" s="121">
        <v>790.68</v>
      </c>
      <c r="AD9" s="121">
        <v>1569.08</v>
      </c>
      <c r="AE9" s="122">
        <f t="shared" si="1"/>
        <v>46690.05000000001</v>
      </c>
      <c r="AH9" s="111"/>
      <c r="AI9" s="111"/>
      <c r="AJ9" s="123"/>
      <c r="AK9" s="124"/>
      <c r="AL9" s="111" t="s">
        <v>156</v>
      </c>
      <c r="AM9" s="116">
        <v>80</v>
      </c>
      <c r="AN9" s="125"/>
    </row>
    <row r="10" spans="1:40" x14ac:dyDescent="0.35">
      <c r="A10" s="95" t="s">
        <v>161</v>
      </c>
      <c r="B10" s="95"/>
      <c r="C10" s="96">
        <v>24</v>
      </c>
      <c r="D10" s="96">
        <v>29</v>
      </c>
      <c r="E10" s="96">
        <v>136</v>
      </c>
      <c r="F10" s="96">
        <v>32</v>
      </c>
      <c r="G10" s="96">
        <v>33</v>
      </c>
      <c r="H10" s="97">
        <v>38</v>
      </c>
      <c r="I10" s="97">
        <v>21</v>
      </c>
      <c r="J10" s="98">
        <v>25</v>
      </c>
      <c r="K10" s="98">
        <v>38</v>
      </c>
      <c r="L10" s="99">
        <v>93</v>
      </c>
      <c r="M10" s="88">
        <v>333</v>
      </c>
      <c r="N10" s="88">
        <v>289</v>
      </c>
      <c r="O10" s="100">
        <f t="shared" si="0"/>
        <v>1091</v>
      </c>
      <c r="Q10" s="95" t="s">
        <v>161</v>
      </c>
      <c r="R10" s="95"/>
      <c r="S10" s="101">
        <f>(C10/$C$67)*$S$76</f>
        <v>365.78074421330206</v>
      </c>
      <c r="T10" s="101">
        <f>(D10/$D$67)*$T$76</f>
        <v>559.27052547131973</v>
      </c>
      <c r="U10" s="101">
        <f>(E10/$E$67)*$U$76</f>
        <v>1823.8411718408395</v>
      </c>
      <c r="V10" s="101">
        <f>(F10/$F$67)*$V$76</f>
        <v>638.4813698630137</v>
      </c>
      <c r="W10" s="101">
        <f>(G10/$G$67)*$W$76</f>
        <v>511.36000864864866</v>
      </c>
      <c r="X10" s="102">
        <f>(H10/$H$67)*$X$76</f>
        <v>599.76612042804663</v>
      </c>
      <c r="Y10" s="102">
        <f>(I10/$I$67)*$Y$76</f>
        <v>167.73171019900499</v>
      </c>
      <c r="Z10" s="102">
        <f>(J10/$J$67)*$Z$76</f>
        <v>410.5231502757353</v>
      </c>
      <c r="AA10" s="102">
        <f>(K10/$K$67)*$AA$76</f>
        <v>520.99238912354804</v>
      </c>
      <c r="AB10" s="101">
        <f>(L10/$L$67)*$AB$76</f>
        <v>1192.1731228876572</v>
      </c>
      <c r="AC10" s="101">
        <f>(M10/$M$67)*$AC$76</f>
        <v>3350.8785069529158</v>
      </c>
      <c r="AD10" s="101">
        <f>(N10/$N$67)*$AD$76</f>
        <v>2620.3022456718877</v>
      </c>
      <c r="AE10" s="103">
        <f t="shared" si="1"/>
        <v>12761.101065575918</v>
      </c>
      <c r="AH10" s="95"/>
      <c r="AI10" s="95"/>
      <c r="AJ10" s="104"/>
      <c r="AK10" s="70"/>
      <c r="AL10" s="95" t="s">
        <v>157</v>
      </c>
      <c r="AM10" s="110">
        <v>35</v>
      </c>
      <c r="AN10" s="105"/>
    </row>
    <row r="11" spans="1:40" s="118" customFormat="1" x14ac:dyDescent="0.35">
      <c r="A11" s="111" t="s">
        <v>162</v>
      </c>
      <c r="B11" s="111" t="s">
        <v>159</v>
      </c>
      <c r="C11" s="112">
        <v>347</v>
      </c>
      <c r="D11" s="112">
        <v>240</v>
      </c>
      <c r="E11" s="112">
        <v>231</v>
      </c>
      <c r="F11" s="112">
        <v>225</v>
      </c>
      <c r="G11" s="112">
        <v>195</v>
      </c>
      <c r="H11" s="113">
        <v>214</v>
      </c>
      <c r="I11" s="113">
        <v>225</v>
      </c>
      <c r="J11" s="114">
        <v>306</v>
      </c>
      <c r="K11" s="114">
        <v>421</v>
      </c>
      <c r="L11" s="115">
        <v>469</v>
      </c>
      <c r="M11" s="116">
        <v>515</v>
      </c>
      <c r="N11" s="116">
        <v>497</v>
      </c>
      <c r="O11" s="117">
        <f t="shared" si="0"/>
        <v>3885</v>
      </c>
      <c r="Q11" s="111" t="s">
        <v>163</v>
      </c>
      <c r="R11" s="111" t="s">
        <v>159</v>
      </c>
      <c r="S11" s="119">
        <v>4221.47</v>
      </c>
      <c r="T11" s="119">
        <v>2944.96</v>
      </c>
      <c r="U11" s="119">
        <v>2837.59</v>
      </c>
      <c r="V11" s="119">
        <v>2766.01</v>
      </c>
      <c r="W11" s="119">
        <v>2408.11</v>
      </c>
      <c r="X11" s="120">
        <v>2634.78</v>
      </c>
      <c r="Y11" s="120">
        <v>2766.01</v>
      </c>
      <c r="Z11" s="120">
        <v>3732.34</v>
      </c>
      <c r="AA11" s="120">
        <v>5104.29</v>
      </c>
      <c r="AB11" s="121">
        <v>5676.93</v>
      </c>
      <c r="AC11" s="121">
        <v>5808.56</v>
      </c>
      <c r="AD11" s="121">
        <v>5608.4</v>
      </c>
      <c r="AE11" s="122">
        <f t="shared" si="1"/>
        <v>46509.450000000004</v>
      </c>
      <c r="AH11" s="111"/>
      <c r="AI11" s="111"/>
      <c r="AJ11" s="123"/>
      <c r="AK11" s="124"/>
      <c r="AL11" s="126" t="s">
        <v>160</v>
      </c>
      <c r="AM11" s="127">
        <v>93</v>
      </c>
      <c r="AN11" s="125"/>
    </row>
    <row r="12" spans="1:40" x14ac:dyDescent="0.35">
      <c r="A12" s="128" t="s">
        <v>73</v>
      </c>
      <c r="B12" s="95"/>
      <c r="C12" s="129" t="s">
        <v>164</v>
      </c>
      <c r="D12" s="129" t="s">
        <v>164</v>
      </c>
      <c r="E12" s="130" t="s">
        <v>164</v>
      </c>
      <c r="F12" s="130" t="s">
        <v>164</v>
      </c>
      <c r="G12" s="130" t="s">
        <v>164</v>
      </c>
      <c r="H12" s="131" t="s">
        <v>164</v>
      </c>
      <c r="I12" s="131" t="s">
        <v>164</v>
      </c>
      <c r="J12" s="131" t="s">
        <v>164</v>
      </c>
      <c r="K12" s="131" t="s">
        <v>164</v>
      </c>
      <c r="L12" s="130" t="s">
        <v>164</v>
      </c>
      <c r="M12" s="130" t="s">
        <v>164</v>
      </c>
      <c r="N12" s="130" t="s">
        <v>164</v>
      </c>
      <c r="O12" s="100">
        <f t="shared" si="0"/>
        <v>0</v>
      </c>
      <c r="Q12" s="128" t="s">
        <v>73</v>
      </c>
      <c r="R12" s="132"/>
      <c r="S12" s="132" t="s">
        <v>164</v>
      </c>
      <c r="T12" s="132" t="s">
        <v>164</v>
      </c>
      <c r="U12" s="132" t="s">
        <v>164</v>
      </c>
      <c r="V12" s="132" t="s">
        <v>164</v>
      </c>
      <c r="W12" s="132" t="s">
        <v>164</v>
      </c>
      <c r="X12" s="133" t="s">
        <v>164</v>
      </c>
      <c r="Y12" s="133" t="s">
        <v>164</v>
      </c>
      <c r="Z12" s="133" t="s">
        <v>164</v>
      </c>
      <c r="AA12" s="133" t="s">
        <v>164</v>
      </c>
      <c r="AB12" s="132" t="s">
        <v>164</v>
      </c>
      <c r="AC12" s="132" t="s">
        <v>164</v>
      </c>
      <c r="AD12" s="132" t="s">
        <v>164</v>
      </c>
      <c r="AE12" s="134">
        <f t="shared" si="1"/>
        <v>0</v>
      </c>
      <c r="AH12" s="95"/>
      <c r="AI12" s="95"/>
      <c r="AJ12" s="104"/>
      <c r="AK12" s="70"/>
      <c r="AL12" s="95" t="s">
        <v>161</v>
      </c>
      <c r="AM12" s="88">
        <v>93</v>
      </c>
      <c r="AN12" s="105"/>
    </row>
    <row r="13" spans="1:40" x14ac:dyDescent="0.35">
      <c r="A13" s="95" t="s">
        <v>165</v>
      </c>
      <c r="B13" s="95"/>
      <c r="C13" s="96">
        <v>82</v>
      </c>
      <c r="D13" s="96">
        <v>25</v>
      </c>
      <c r="E13" s="96">
        <v>52</v>
      </c>
      <c r="F13" s="96">
        <v>68</v>
      </c>
      <c r="G13" s="96">
        <v>52</v>
      </c>
      <c r="H13" s="97">
        <v>85</v>
      </c>
      <c r="I13" s="97">
        <v>26</v>
      </c>
      <c r="J13" s="98">
        <v>37</v>
      </c>
      <c r="K13" s="98">
        <v>118</v>
      </c>
      <c r="L13" s="99">
        <v>753</v>
      </c>
      <c r="M13" s="88">
        <v>175</v>
      </c>
      <c r="N13" s="88">
        <v>830</v>
      </c>
      <c r="O13" s="100">
        <f>SUM(C13:N13)</f>
        <v>2303</v>
      </c>
      <c r="Q13" s="95" t="s">
        <v>165</v>
      </c>
      <c r="R13" s="95"/>
      <c r="S13" s="101">
        <f t="shared" ref="S13:S17" si="2">(C13/$C$67)*$S$76</f>
        <v>1249.7508760621154</v>
      </c>
      <c r="T13" s="101">
        <f t="shared" ref="T13:T18" si="3">(D13/$D$67)*$T$76</f>
        <v>482.12976333734463</v>
      </c>
      <c r="U13" s="101">
        <f t="shared" ref="U13:U18" si="4">(E13/$E$67)*$U$76</f>
        <v>697.35103629208572</v>
      </c>
      <c r="V13" s="101">
        <f t="shared" ref="V13:V18" si="5">(F13/$F$67)*$V$76</f>
        <v>1356.772910958904</v>
      </c>
      <c r="W13" s="101">
        <f t="shared" ref="W13:W18" si="6">(G13/$G$67)*$W$76</f>
        <v>805.77940756756766</v>
      </c>
      <c r="X13" s="102">
        <f t="shared" ref="X13:X18" si="7">(H13/$H$67)*$X$76</f>
        <v>1341.5821114837886</v>
      </c>
      <c r="Y13" s="102">
        <f t="shared" ref="Y13:Y18" si="8">(I13/$I$67)*$Y$76</f>
        <v>207.66783167495853</v>
      </c>
      <c r="Z13" s="102">
        <f t="shared" ref="Z13:Z18" si="9">(J13/$J$67)*$Z$76</f>
        <v>607.57426240808809</v>
      </c>
      <c r="AA13" s="102">
        <f t="shared" ref="AA13:AA18" si="10">(K13/$K$67)*$AA$76</f>
        <v>1617.8184714889121</v>
      </c>
      <c r="AB13" s="101">
        <f t="shared" ref="AB13:AB18" si="11">(L13/$L$67)*$AB$76</f>
        <v>9652.7565756387721</v>
      </c>
      <c r="AC13" s="101">
        <f t="shared" ref="AC13:AC18" si="12">(M13/$M$67)*$AC$76</f>
        <v>1760.9721883386194</v>
      </c>
      <c r="AD13" s="101">
        <f>(N13/$N$67)*$AD$76</f>
        <v>7525.4355152514427</v>
      </c>
      <c r="AE13" s="103">
        <f t="shared" si="1"/>
        <v>27305.590950502599</v>
      </c>
      <c r="AH13" s="95"/>
      <c r="AI13" s="95"/>
      <c r="AJ13" s="104"/>
      <c r="AK13" s="70"/>
      <c r="AL13" s="95" t="s">
        <v>163</v>
      </c>
      <c r="AM13" s="135">
        <v>469</v>
      </c>
      <c r="AN13" s="105"/>
    </row>
    <row r="14" spans="1:40" x14ac:dyDescent="0.35">
      <c r="A14" s="95" t="s">
        <v>166</v>
      </c>
      <c r="B14" s="95"/>
      <c r="C14" s="96">
        <v>38</v>
      </c>
      <c r="D14" s="96">
        <v>21</v>
      </c>
      <c r="E14" s="96">
        <v>49</v>
      </c>
      <c r="F14" s="96">
        <v>54</v>
      </c>
      <c r="G14" s="96">
        <v>48</v>
      </c>
      <c r="H14" s="97">
        <v>71</v>
      </c>
      <c r="I14" s="106">
        <v>98</v>
      </c>
      <c r="J14" s="108">
        <v>75</v>
      </c>
      <c r="K14" s="98">
        <v>76</v>
      </c>
      <c r="L14" s="99">
        <v>55</v>
      </c>
      <c r="M14" s="88">
        <v>67</v>
      </c>
      <c r="N14" s="88">
        <v>40</v>
      </c>
      <c r="O14" s="100">
        <f t="shared" si="0"/>
        <v>692</v>
      </c>
      <c r="Q14" s="95" t="s">
        <v>166</v>
      </c>
      <c r="R14" s="95"/>
      <c r="S14" s="101">
        <f t="shared" si="2"/>
        <v>579.15284500439498</v>
      </c>
      <c r="T14" s="101">
        <f t="shared" si="3"/>
        <v>404.98900120336941</v>
      </c>
      <c r="U14" s="101">
        <f t="shared" si="4"/>
        <v>657.11924573677311</v>
      </c>
      <c r="V14" s="101">
        <f t="shared" si="5"/>
        <v>1077.4373116438355</v>
      </c>
      <c r="W14" s="101">
        <f t="shared" si="6"/>
        <v>743.79637621621623</v>
      </c>
      <c r="X14" s="102">
        <f t="shared" si="7"/>
        <v>1120.6156460629293</v>
      </c>
      <c r="Y14" s="102">
        <f t="shared" si="8"/>
        <v>782.74798092869003</v>
      </c>
      <c r="Z14" s="102">
        <f t="shared" si="9"/>
        <v>1231.5694508272059</v>
      </c>
      <c r="AA14" s="102">
        <f t="shared" si="10"/>
        <v>1041.9847782470961</v>
      </c>
      <c r="AB14" s="101">
        <f t="shared" si="11"/>
        <v>705.04862106259304</v>
      </c>
      <c r="AC14" s="101">
        <f t="shared" si="12"/>
        <v>674.20078067821419</v>
      </c>
      <c r="AD14" s="101">
        <f>(N14/$N$67)*$AD$76</f>
        <v>362.67159109645507</v>
      </c>
      <c r="AE14" s="103">
        <f t="shared" si="1"/>
        <v>9381.3336287077727</v>
      </c>
      <c r="AH14" s="95"/>
      <c r="AI14" s="95"/>
      <c r="AJ14" s="104"/>
      <c r="AK14" s="70"/>
      <c r="AL14" s="128" t="s">
        <v>73</v>
      </c>
      <c r="AM14" s="130" t="s">
        <v>164</v>
      </c>
      <c r="AN14" s="105"/>
    </row>
    <row r="15" spans="1:40" x14ac:dyDescent="0.35">
      <c r="A15" s="136" t="s">
        <v>167</v>
      </c>
      <c r="B15" s="95"/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7">
        <v>0</v>
      </c>
      <c r="I15" s="97">
        <v>0</v>
      </c>
      <c r="J15" s="98">
        <v>0</v>
      </c>
      <c r="K15" s="98">
        <v>0</v>
      </c>
      <c r="L15" s="99">
        <v>0</v>
      </c>
      <c r="M15" s="137">
        <v>0</v>
      </c>
      <c r="N15" s="137">
        <v>0</v>
      </c>
      <c r="O15" s="100">
        <f t="shared" si="0"/>
        <v>0</v>
      </c>
      <c r="Q15" s="136" t="s">
        <v>167</v>
      </c>
      <c r="R15" s="95"/>
      <c r="S15" s="101">
        <f t="shared" si="2"/>
        <v>0</v>
      </c>
      <c r="T15" s="101">
        <f t="shared" si="3"/>
        <v>0</v>
      </c>
      <c r="U15" s="101">
        <f t="shared" si="4"/>
        <v>0</v>
      </c>
      <c r="V15" s="101">
        <f t="shared" si="5"/>
        <v>0</v>
      </c>
      <c r="W15" s="101">
        <f t="shared" si="6"/>
        <v>0</v>
      </c>
      <c r="X15" s="102">
        <f t="shared" si="7"/>
        <v>0</v>
      </c>
      <c r="Y15" s="102">
        <f t="shared" si="8"/>
        <v>0</v>
      </c>
      <c r="Z15" s="102">
        <f t="shared" si="9"/>
        <v>0</v>
      </c>
      <c r="AA15" s="102">
        <f t="shared" si="10"/>
        <v>0</v>
      </c>
      <c r="AB15" s="101">
        <f t="shared" si="11"/>
        <v>0</v>
      </c>
      <c r="AC15" s="93">
        <f t="shared" si="12"/>
        <v>0</v>
      </c>
      <c r="AD15" s="93">
        <f>(N15/$N$68)*$AD$76</f>
        <v>0</v>
      </c>
      <c r="AE15" s="103">
        <f t="shared" si="1"/>
        <v>0</v>
      </c>
      <c r="AH15" s="136"/>
      <c r="AI15" s="95"/>
      <c r="AJ15" s="104"/>
      <c r="AK15" s="70"/>
      <c r="AL15" s="95" t="s">
        <v>165</v>
      </c>
      <c r="AM15" s="88">
        <v>753</v>
      </c>
      <c r="AN15" s="138"/>
    </row>
    <row r="16" spans="1:40" x14ac:dyDescent="0.35">
      <c r="A16" s="95" t="s">
        <v>168</v>
      </c>
      <c r="B16" s="95"/>
      <c r="C16" s="96">
        <v>868</v>
      </c>
      <c r="D16" s="96">
        <v>488</v>
      </c>
      <c r="E16" s="96">
        <v>197</v>
      </c>
      <c r="F16" s="96">
        <v>157</v>
      </c>
      <c r="G16" s="96">
        <v>158</v>
      </c>
      <c r="H16" s="97">
        <v>211</v>
      </c>
      <c r="I16" s="97">
        <v>126</v>
      </c>
      <c r="J16" s="108">
        <v>150</v>
      </c>
      <c r="K16" s="108">
        <v>150</v>
      </c>
      <c r="L16" s="99">
        <v>481</v>
      </c>
      <c r="M16" s="88">
        <v>439</v>
      </c>
      <c r="N16" s="88">
        <v>1885</v>
      </c>
      <c r="O16" s="100">
        <f t="shared" si="0"/>
        <v>5310</v>
      </c>
      <c r="Q16" s="95" t="s">
        <v>168</v>
      </c>
      <c r="R16" s="95"/>
      <c r="S16" s="101">
        <f t="shared" si="2"/>
        <v>13229.070249047758</v>
      </c>
      <c r="T16" s="101">
        <f t="shared" si="3"/>
        <v>9411.1729803449671</v>
      </c>
      <c r="U16" s="101">
        <f t="shared" si="4"/>
        <v>2641.887579798863</v>
      </c>
      <c r="V16" s="101">
        <f t="shared" si="5"/>
        <v>3132.5492208904111</v>
      </c>
      <c r="W16" s="101">
        <f t="shared" si="6"/>
        <v>2448.3297383783784</v>
      </c>
      <c r="X16" s="102">
        <f t="shared" si="7"/>
        <v>3330.2803002715218</v>
      </c>
      <c r="Y16" s="102">
        <f t="shared" si="8"/>
        <v>1006.3902611940299</v>
      </c>
      <c r="Z16" s="102">
        <f t="shared" si="9"/>
        <v>2463.1389016544117</v>
      </c>
      <c r="AA16" s="102">
        <f t="shared" si="10"/>
        <v>2056.5489044350579</v>
      </c>
      <c r="AB16" s="101">
        <f t="shared" si="11"/>
        <v>6165.9706678383136</v>
      </c>
      <c r="AC16" s="101">
        <f t="shared" si="12"/>
        <v>4417.5245181751652</v>
      </c>
      <c r="AD16" s="101">
        <f>(N16/$N$67)*$AD$76</f>
        <v>17090.898730420446</v>
      </c>
      <c r="AE16" s="103">
        <f t="shared" si="1"/>
        <v>67393.762052449325</v>
      </c>
      <c r="AH16" s="95"/>
      <c r="AI16" s="95"/>
      <c r="AJ16" s="104"/>
      <c r="AK16" s="70"/>
      <c r="AL16" s="95" t="s">
        <v>166</v>
      </c>
      <c r="AM16" s="88">
        <v>55</v>
      </c>
      <c r="AN16" s="105"/>
    </row>
    <row r="17" spans="1:40" x14ac:dyDescent="0.35">
      <c r="A17" s="95" t="s">
        <v>169</v>
      </c>
      <c r="B17" s="95"/>
      <c r="C17" s="96">
        <v>140</v>
      </c>
      <c r="D17" s="96">
        <v>98</v>
      </c>
      <c r="E17" s="96">
        <v>174</v>
      </c>
      <c r="F17" s="96">
        <v>235</v>
      </c>
      <c r="G17" s="96">
        <v>212</v>
      </c>
      <c r="H17" s="97">
        <v>291</v>
      </c>
      <c r="I17" s="97">
        <v>164</v>
      </c>
      <c r="J17" s="98">
        <v>184</v>
      </c>
      <c r="K17" s="98">
        <v>283</v>
      </c>
      <c r="L17" s="99">
        <v>230</v>
      </c>
      <c r="M17" s="88">
        <v>212</v>
      </c>
      <c r="N17" s="88">
        <v>116</v>
      </c>
      <c r="O17" s="100">
        <f t="shared" si="0"/>
        <v>2339</v>
      </c>
      <c r="Q17" s="95" t="s">
        <v>169</v>
      </c>
      <c r="R17" s="95"/>
      <c r="S17" s="101">
        <f t="shared" si="2"/>
        <v>2133.7210079109291</v>
      </c>
      <c r="T17" s="101">
        <f t="shared" si="3"/>
        <v>1889.9486722823908</v>
      </c>
      <c r="U17" s="101">
        <f t="shared" si="4"/>
        <v>2333.4438522081327</v>
      </c>
      <c r="V17" s="101">
        <f t="shared" si="5"/>
        <v>4688.847559931507</v>
      </c>
      <c r="W17" s="101">
        <f t="shared" si="6"/>
        <v>3285.1006616216218</v>
      </c>
      <c r="X17" s="102">
        <f t="shared" si="7"/>
        <v>4592.9458169621466</v>
      </c>
      <c r="Y17" s="102">
        <f t="shared" si="8"/>
        <v>1309.904784411277</v>
      </c>
      <c r="Z17" s="102">
        <f t="shared" si="9"/>
        <v>3021.4503860294117</v>
      </c>
      <c r="AA17" s="102">
        <f t="shared" si="10"/>
        <v>3880.0222663674763</v>
      </c>
      <c r="AB17" s="101">
        <f t="shared" si="11"/>
        <v>2948.3851426253887</v>
      </c>
      <c r="AC17" s="101">
        <f t="shared" si="12"/>
        <v>2133.2920224444988</v>
      </c>
      <c r="AD17" s="101">
        <f>(N17/$N$67)*$AD$76</f>
        <v>1051.7476141797197</v>
      </c>
      <c r="AE17" s="103">
        <f t="shared" si="1"/>
        <v>33268.809786974496</v>
      </c>
      <c r="AH17" s="95"/>
      <c r="AI17" s="95"/>
      <c r="AJ17" s="104"/>
      <c r="AK17" s="70"/>
      <c r="AL17" s="139" t="s">
        <v>167</v>
      </c>
      <c r="AM17" s="140">
        <v>0</v>
      </c>
      <c r="AN17" s="105"/>
    </row>
    <row r="18" spans="1:40" x14ac:dyDescent="0.35">
      <c r="A18" s="95" t="s">
        <v>170</v>
      </c>
      <c r="B18" s="95"/>
      <c r="C18" s="96">
        <v>226</v>
      </c>
      <c r="D18" s="96">
        <v>130</v>
      </c>
      <c r="E18" s="96">
        <v>98</v>
      </c>
      <c r="F18" s="96">
        <v>44</v>
      </c>
      <c r="G18" s="96">
        <v>26</v>
      </c>
      <c r="H18" s="97">
        <v>52</v>
      </c>
      <c r="I18" s="97">
        <v>18</v>
      </c>
      <c r="J18" s="98">
        <v>15</v>
      </c>
      <c r="K18" s="98">
        <v>50</v>
      </c>
      <c r="L18" s="99">
        <v>47</v>
      </c>
      <c r="M18" s="88">
        <v>44</v>
      </c>
      <c r="N18" s="88">
        <v>55</v>
      </c>
      <c r="O18" s="100">
        <f t="shared" si="0"/>
        <v>805</v>
      </c>
      <c r="Q18" s="95" t="s">
        <v>170</v>
      </c>
      <c r="R18" s="95"/>
      <c r="S18" s="101">
        <f>(C18/$C$67)*$S$76</f>
        <v>3444.4353413419281</v>
      </c>
      <c r="T18" s="101">
        <f t="shared" si="3"/>
        <v>2507.0747693541916</v>
      </c>
      <c r="U18" s="101">
        <f t="shared" si="4"/>
        <v>1314.2384914735462</v>
      </c>
      <c r="V18" s="101">
        <f t="shared" si="5"/>
        <v>877.91188356164378</v>
      </c>
      <c r="W18" s="101">
        <f t="shared" si="6"/>
        <v>402.88970378378383</v>
      </c>
      <c r="X18" s="102">
        <f t="shared" si="7"/>
        <v>820.73258584890596</v>
      </c>
      <c r="Y18" s="102">
        <f t="shared" si="8"/>
        <v>143.77003731343285</v>
      </c>
      <c r="Z18" s="102">
        <f t="shared" si="9"/>
        <v>246.31389016544117</v>
      </c>
      <c r="AA18" s="102">
        <f t="shared" si="10"/>
        <v>685.5163014783526</v>
      </c>
      <c r="AB18" s="101">
        <f t="shared" si="11"/>
        <v>602.49609436257947</v>
      </c>
      <c r="AC18" s="101">
        <f t="shared" si="12"/>
        <v>442.75872163942427</v>
      </c>
      <c r="AD18" s="101">
        <f>(N18/$N$67)*$AD$76</f>
        <v>498.67343775762572</v>
      </c>
      <c r="AE18" s="103">
        <f t="shared" si="1"/>
        <v>11986.811258080854</v>
      </c>
      <c r="AH18" s="95"/>
      <c r="AI18" s="95"/>
      <c r="AJ18" s="104"/>
      <c r="AK18" s="70"/>
      <c r="AL18" s="95" t="s">
        <v>168</v>
      </c>
      <c r="AM18" s="88">
        <v>481</v>
      </c>
      <c r="AN18" s="105"/>
    </row>
    <row r="19" spans="1:40" s="118" customFormat="1" x14ac:dyDescent="0.35">
      <c r="A19" s="111" t="s">
        <v>171</v>
      </c>
      <c r="B19" s="111" t="s">
        <v>159</v>
      </c>
      <c r="C19" s="112">
        <v>58</v>
      </c>
      <c r="D19" s="112">
        <v>19</v>
      </c>
      <c r="E19" s="112">
        <v>28</v>
      </c>
      <c r="F19" s="112">
        <v>17</v>
      </c>
      <c r="G19" s="112">
        <v>16</v>
      </c>
      <c r="H19" s="113">
        <v>25</v>
      </c>
      <c r="I19" s="113">
        <v>16</v>
      </c>
      <c r="J19" s="114">
        <v>18</v>
      </c>
      <c r="K19" s="114">
        <v>19</v>
      </c>
      <c r="L19" s="115">
        <v>18</v>
      </c>
      <c r="M19" s="116">
        <v>42</v>
      </c>
      <c r="N19" s="116">
        <v>144</v>
      </c>
      <c r="O19" s="117">
        <f t="shared" si="0"/>
        <v>420</v>
      </c>
      <c r="Q19" s="111" t="s">
        <v>172</v>
      </c>
      <c r="R19" s="111" t="s">
        <v>159</v>
      </c>
      <c r="S19" s="119">
        <v>720.7</v>
      </c>
      <c r="T19" s="119">
        <v>282.73</v>
      </c>
      <c r="U19" s="121">
        <v>390.8</v>
      </c>
      <c r="V19" s="121">
        <v>259.57</v>
      </c>
      <c r="W19" s="119">
        <v>247.64</v>
      </c>
      <c r="X19" s="141">
        <v>355.01</v>
      </c>
      <c r="Y19" s="141">
        <v>247.64</v>
      </c>
      <c r="Z19" s="141">
        <v>271.5</v>
      </c>
      <c r="AA19" s="141">
        <v>283.43</v>
      </c>
      <c r="AB19" s="121">
        <v>268</v>
      </c>
      <c r="AC19" s="121">
        <v>508.15</v>
      </c>
      <c r="AD19" s="121">
        <v>1569.37</v>
      </c>
      <c r="AE19" s="122">
        <f t="shared" si="1"/>
        <v>5404.5399999999991</v>
      </c>
      <c r="AH19" s="111"/>
      <c r="AI19" s="111"/>
      <c r="AJ19" s="123"/>
      <c r="AK19" s="124"/>
      <c r="AL19" s="111" t="s">
        <v>169</v>
      </c>
      <c r="AM19" s="116">
        <v>230</v>
      </c>
      <c r="AN19" s="125"/>
    </row>
    <row r="20" spans="1:40" x14ac:dyDescent="0.35">
      <c r="A20" s="95" t="s">
        <v>173</v>
      </c>
      <c r="B20" s="95"/>
      <c r="C20" s="96">
        <v>41</v>
      </c>
      <c r="D20" s="96">
        <v>90</v>
      </c>
      <c r="E20" s="96">
        <v>139</v>
      </c>
      <c r="F20" s="96">
        <v>126</v>
      </c>
      <c r="G20" s="96">
        <v>101</v>
      </c>
      <c r="H20" s="97">
        <v>133</v>
      </c>
      <c r="I20" s="97">
        <v>47</v>
      </c>
      <c r="J20" s="98">
        <v>88</v>
      </c>
      <c r="K20" s="108">
        <v>107</v>
      </c>
      <c r="L20" s="109">
        <v>100</v>
      </c>
      <c r="M20" s="88">
        <v>97</v>
      </c>
      <c r="N20" s="88">
        <v>56</v>
      </c>
      <c r="O20" s="100">
        <f t="shared" si="0"/>
        <v>1125</v>
      </c>
      <c r="Q20" s="142" t="s">
        <v>173</v>
      </c>
      <c r="R20" s="142"/>
      <c r="S20" s="101">
        <f>(C20/$C$67)*$S$76</f>
        <v>624.87543803105768</v>
      </c>
      <c r="T20" s="101">
        <f>(D20/$D$67)*$T$76</f>
        <v>1735.6671480144405</v>
      </c>
      <c r="U20" s="101">
        <f>(E20/$E$67)*$U$76</f>
        <v>1864.0729623961522</v>
      </c>
      <c r="V20" s="101">
        <f>(F20/$F$67)*$V$76</f>
        <v>2514.0203938356162</v>
      </c>
      <c r="W20" s="101">
        <f>(G20/$G$67)*$W$76</f>
        <v>1565.0715416216217</v>
      </c>
      <c r="X20" s="102">
        <f>(H20/$H$67)*$X$76</f>
        <v>2099.1814214981632</v>
      </c>
      <c r="Y20" s="102">
        <f>(I20/$I$67)*$Y$76</f>
        <v>375.39954187396359</v>
      </c>
      <c r="Z20" s="102">
        <f>(J20/$J$67)*$Z$76</f>
        <v>1445.0414889705883</v>
      </c>
      <c r="AA20" s="102">
        <f>(K20/$K$67)*$AA$76</f>
        <v>1467.0048851636748</v>
      </c>
      <c r="AB20" s="101">
        <f>(L20/$L$67)*$AB$76</f>
        <v>1281.9065837501691</v>
      </c>
      <c r="AC20" s="101">
        <f>(M20/$M$67)*$AC$76</f>
        <v>976.08172725054897</v>
      </c>
      <c r="AD20" s="101">
        <f>(N20/$N$67)*$AD$76</f>
        <v>507.74022753503715</v>
      </c>
      <c r="AE20" s="103">
        <f t="shared" si="1"/>
        <v>16456.063359941032</v>
      </c>
      <c r="AH20" s="142"/>
      <c r="AI20" s="142"/>
      <c r="AJ20" s="143"/>
      <c r="AK20" s="70"/>
      <c r="AL20" s="95" t="s">
        <v>170</v>
      </c>
      <c r="AM20" s="88">
        <v>47</v>
      </c>
      <c r="AN20" s="105"/>
    </row>
    <row r="21" spans="1:40" x14ac:dyDescent="0.35">
      <c r="A21" s="95" t="s">
        <v>174</v>
      </c>
      <c r="B21" s="95"/>
      <c r="C21" s="96">
        <v>44</v>
      </c>
      <c r="D21" s="96">
        <v>30</v>
      </c>
      <c r="E21" s="96">
        <v>39</v>
      </c>
      <c r="F21" s="96">
        <v>53</v>
      </c>
      <c r="G21" s="96">
        <v>60</v>
      </c>
      <c r="H21" s="97">
        <v>64</v>
      </c>
      <c r="I21" s="97">
        <v>24</v>
      </c>
      <c r="J21" s="98">
        <v>30</v>
      </c>
      <c r="K21" s="98">
        <v>71</v>
      </c>
      <c r="L21" s="99">
        <v>56</v>
      </c>
      <c r="M21" s="105">
        <v>70</v>
      </c>
      <c r="N21" s="105">
        <v>78</v>
      </c>
      <c r="O21" s="100">
        <f t="shared" si="0"/>
        <v>619</v>
      </c>
      <c r="Q21" s="95" t="s">
        <v>174</v>
      </c>
      <c r="R21" s="95"/>
      <c r="S21" s="101">
        <f>(C21/$C$67)*$S$76</f>
        <v>670.5980310577205</v>
      </c>
      <c r="T21" s="101">
        <f>(D21/$D$67)*$T$76</f>
        <v>578.55571600481358</v>
      </c>
      <c r="U21" s="101">
        <f>(E21/$E$67)*$U$76</f>
        <v>523.01327721906421</v>
      </c>
      <c r="V21" s="101">
        <f>(F21/$F$67)*$V$76</f>
        <v>1057.4847688356165</v>
      </c>
      <c r="W21" s="101">
        <f>(G21/$G$67)*$W$76</f>
        <v>929.74547027027029</v>
      </c>
      <c r="X21" s="102">
        <f>(H21/$H$67)*$X$76</f>
        <v>1010.1324133524996</v>
      </c>
      <c r="Y21" s="102">
        <f>(I21/$I$67)*$Y$76</f>
        <v>191.69338308457714</v>
      </c>
      <c r="Z21" s="102">
        <f>(J21/$J$67)*$Z$76</f>
        <v>492.62778033088233</v>
      </c>
      <c r="AA21" s="102">
        <f>(K21/$K$67)*$AA$76</f>
        <v>973.43314809926073</v>
      </c>
      <c r="AB21" s="101">
        <f>(L21/$L$67)*$AB$76</f>
        <v>717.86768690009467</v>
      </c>
      <c r="AC21" s="101">
        <f>(M21/$M$67)*$AC$76</f>
        <v>704.38887533544755</v>
      </c>
      <c r="AD21" s="101">
        <f>(N21/$N$67)*$AD$76</f>
        <v>707.2096026380874</v>
      </c>
      <c r="AE21" s="103">
        <f t="shared" si="1"/>
        <v>8556.7501531283342</v>
      </c>
      <c r="AH21" s="95"/>
      <c r="AI21" s="95"/>
      <c r="AJ21" s="104"/>
      <c r="AK21" s="70"/>
      <c r="AL21" s="95" t="s">
        <v>172</v>
      </c>
      <c r="AM21" s="88">
        <v>18</v>
      </c>
      <c r="AN21" s="105"/>
    </row>
    <row r="22" spans="1:40" x14ac:dyDescent="0.35">
      <c r="A22" s="95" t="s">
        <v>175</v>
      </c>
      <c r="B22" s="95"/>
      <c r="C22" s="144">
        <v>3</v>
      </c>
      <c r="D22" s="144">
        <v>5</v>
      </c>
      <c r="E22" s="144">
        <v>9</v>
      </c>
      <c r="F22" s="144">
        <v>13</v>
      </c>
      <c r="G22" s="144">
        <v>8</v>
      </c>
      <c r="H22" s="145">
        <v>17</v>
      </c>
      <c r="I22" s="145">
        <v>7</v>
      </c>
      <c r="J22" s="146">
        <v>6</v>
      </c>
      <c r="K22" s="146">
        <v>15</v>
      </c>
      <c r="L22" s="99">
        <v>13</v>
      </c>
      <c r="M22" s="147">
        <v>15</v>
      </c>
      <c r="N22" s="147">
        <v>4</v>
      </c>
      <c r="O22" s="100">
        <f t="shared" si="0"/>
        <v>115</v>
      </c>
      <c r="Q22" s="95" t="s">
        <v>175</v>
      </c>
      <c r="R22" s="95"/>
      <c r="S22" s="101">
        <f>(C22/$C$67)*$S$76</f>
        <v>45.722593026662757</v>
      </c>
      <c r="T22" s="101">
        <f>(D22/$D$67)*$T$76</f>
        <v>96.425952667468934</v>
      </c>
      <c r="U22" s="101">
        <f>(E22/$E$67)*$U$76</f>
        <v>120.69537166593791</v>
      </c>
      <c r="V22" s="101">
        <f>(F22/$F$67)*$V$76</f>
        <v>259.3830565068493</v>
      </c>
      <c r="W22" s="101">
        <f>(G22/$G$67)*$W$76</f>
        <v>123.96606270270271</v>
      </c>
      <c r="X22" s="102">
        <f>(H22/$H$67)*$X$76</f>
        <v>268.31642229675771</v>
      </c>
      <c r="Y22" s="102">
        <f>(I22/$I$67)*$Y$76</f>
        <v>55.910570066334991</v>
      </c>
      <c r="Z22" s="102">
        <f>(J22/$J$67)*$Z$76</f>
        <v>98.525556066176478</v>
      </c>
      <c r="AA22" s="148">
        <f>(K22/$K$67)*$AA$76</f>
        <v>205.65489044350576</v>
      </c>
      <c r="AB22" s="101">
        <f>(L22/$L$67)*$AB$76</f>
        <v>166.64785588752196</v>
      </c>
      <c r="AC22" s="101">
        <f>(M22/$M$67)*$AC$76</f>
        <v>150.94047328616736</v>
      </c>
      <c r="AD22" s="101">
        <f>(N22/$N$67)*$AD$76</f>
        <v>36.267159109645512</v>
      </c>
      <c r="AE22" s="103">
        <f t="shared" si="1"/>
        <v>1628.4559637257314</v>
      </c>
      <c r="AH22" s="95"/>
      <c r="AI22" s="95"/>
      <c r="AJ22" s="104"/>
      <c r="AK22" s="70"/>
      <c r="AL22" s="142" t="s">
        <v>173</v>
      </c>
      <c r="AM22" s="88">
        <v>100</v>
      </c>
      <c r="AN22" s="105"/>
    </row>
    <row r="23" spans="1:40" x14ac:dyDescent="0.35">
      <c r="A23" s="149" t="s">
        <v>57</v>
      </c>
      <c r="B23" s="149"/>
      <c r="C23" s="150">
        <f>SUM(C5:C22)</f>
        <v>2671</v>
      </c>
      <c r="D23" s="150">
        <f>SUM(D5:D22)</f>
        <v>1829</v>
      </c>
      <c r="E23" s="150">
        <f t="shared" ref="E23:F23" si="13">SUM(E5:E22)</f>
        <v>1791</v>
      </c>
      <c r="F23" s="150">
        <f t="shared" si="13"/>
        <v>1898</v>
      </c>
      <c r="G23" s="151">
        <f>SUM(G5:G22)</f>
        <v>1672</v>
      </c>
      <c r="H23" s="152">
        <f>SUM(H5:H22)</f>
        <v>2226</v>
      </c>
      <c r="I23" s="152">
        <f>SUM(I5:I22)</f>
        <v>1454</v>
      </c>
      <c r="J23" s="152">
        <f t="shared" ref="J23:O23" si="14">SUM(J5:J22)</f>
        <v>1560</v>
      </c>
      <c r="K23" s="152">
        <f t="shared" si="14"/>
        <v>1901</v>
      </c>
      <c r="L23" s="153">
        <f t="shared" si="14"/>
        <v>2838</v>
      </c>
      <c r="M23" s="88">
        <f t="shared" si="14"/>
        <v>2767</v>
      </c>
      <c r="N23" s="88">
        <f>SUM(N5:N22)</f>
        <v>4632</v>
      </c>
      <c r="O23" s="154">
        <f t="shared" si="14"/>
        <v>27239</v>
      </c>
      <c r="Q23" s="149" t="s">
        <v>57</v>
      </c>
      <c r="R23" s="149"/>
      <c r="S23" s="155">
        <f t="shared" ref="S23:AA23" si="15">SUM(S5:S22)</f>
        <v>38137.543847055378</v>
      </c>
      <c r="T23" s="155">
        <f>SUM(T5:T22)</f>
        <v>30767.226734857602</v>
      </c>
      <c r="U23" s="155">
        <f>SUM(U5:U22)</f>
        <v>23372.679949715781</v>
      </c>
      <c r="V23" s="155">
        <f>SUM(V5:V22)</f>
        <v>32666.034940068494</v>
      </c>
      <c r="W23" s="155">
        <f t="shared" si="15"/>
        <v>24114.49423135136</v>
      </c>
      <c r="X23" s="156">
        <f t="shared" si="15"/>
        <v>36419.692188148852</v>
      </c>
      <c r="Y23" s="156">
        <f t="shared" si="15"/>
        <v>14324.195024875622</v>
      </c>
      <c r="Z23" s="156">
        <f t="shared" si="15"/>
        <v>22794.022297794123</v>
      </c>
      <c r="AA23" s="157">
        <f t="shared" si="15"/>
        <v>25315.03698653643</v>
      </c>
      <c r="AB23" s="155">
        <f>SUM(AB5:AB22)</f>
        <v>36056.630661078816</v>
      </c>
      <c r="AC23" s="158">
        <f>SUM(AC5:AC22)</f>
        <v>28681.81498170285</v>
      </c>
      <c r="AD23" s="158">
        <f>SUM(AD5:AD22)</f>
        <v>43699.324591920864</v>
      </c>
      <c r="AE23" s="159">
        <f>SUM(S23:AD23)</f>
        <v>356348.69643510616</v>
      </c>
      <c r="AF23" s="93"/>
      <c r="AH23" s="149"/>
      <c r="AI23" s="149"/>
      <c r="AJ23" s="104"/>
      <c r="AK23" s="105"/>
      <c r="AL23" s="95" t="s">
        <v>174</v>
      </c>
      <c r="AM23" s="105">
        <v>56</v>
      </c>
      <c r="AN23" s="105"/>
    </row>
    <row r="24" spans="1:40" x14ac:dyDescent="0.35">
      <c r="A24" s="84" t="s">
        <v>176</v>
      </c>
      <c r="B24" s="84"/>
      <c r="C24" s="160"/>
      <c r="D24" s="160"/>
      <c r="E24" s="160"/>
      <c r="F24" s="160"/>
      <c r="H24" s="85"/>
      <c r="I24" s="85"/>
      <c r="J24" s="86"/>
      <c r="K24" s="86"/>
      <c r="L24" s="160"/>
      <c r="M24" s="88"/>
      <c r="O24" s="89"/>
      <c r="Q24" s="84" t="s">
        <v>176</v>
      </c>
      <c r="R24" s="84"/>
      <c r="S24" s="90"/>
      <c r="T24" s="90"/>
      <c r="U24" s="90"/>
      <c r="V24" s="90"/>
      <c r="W24" s="90"/>
      <c r="X24" s="91"/>
      <c r="Y24" s="85"/>
      <c r="Z24" s="161"/>
      <c r="AA24" s="91"/>
      <c r="AB24" s="90"/>
      <c r="AC24" s="93"/>
      <c r="AD24" s="93"/>
      <c r="AE24" s="89"/>
      <c r="AH24" s="84"/>
      <c r="AI24" s="84"/>
      <c r="AJ24" s="70"/>
      <c r="AK24" s="70"/>
      <c r="AL24" s="95" t="s">
        <v>175</v>
      </c>
      <c r="AM24" s="147">
        <v>13</v>
      </c>
    </row>
    <row r="25" spans="1:40" s="118" customFormat="1" x14ac:dyDescent="0.35">
      <c r="A25" s="162" t="s">
        <v>177</v>
      </c>
      <c r="B25" s="111" t="s">
        <v>159</v>
      </c>
      <c r="C25" s="112">
        <v>47</v>
      </c>
      <c r="D25" s="112">
        <v>54</v>
      </c>
      <c r="E25" s="112">
        <v>51</v>
      </c>
      <c r="F25" s="112">
        <v>63</v>
      </c>
      <c r="G25" s="112">
        <v>53</v>
      </c>
      <c r="H25" s="113">
        <v>32</v>
      </c>
      <c r="I25" s="114">
        <v>31</v>
      </c>
      <c r="J25" s="114">
        <v>40</v>
      </c>
      <c r="K25" s="114">
        <v>51</v>
      </c>
      <c r="L25" s="115">
        <v>62</v>
      </c>
      <c r="M25" s="116">
        <v>50</v>
      </c>
      <c r="N25" s="116">
        <v>39</v>
      </c>
      <c r="O25" s="117">
        <f t="shared" ref="O25:O35" si="16">SUM(C25:N25)</f>
        <v>573</v>
      </c>
      <c r="Q25" s="162" t="s">
        <v>178</v>
      </c>
      <c r="R25" s="111" t="s">
        <v>159</v>
      </c>
      <c r="S25" s="119">
        <v>576.47</v>
      </c>
      <c r="T25" s="119">
        <v>62.85</v>
      </c>
      <c r="U25" s="119">
        <v>624.19000000000005</v>
      </c>
      <c r="V25" s="119">
        <v>830.2</v>
      </c>
      <c r="W25" s="119">
        <v>648.04999999999995</v>
      </c>
      <c r="X25" s="120">
        <v>397.52</v>
      </c>
      <c r="Y25" s="120">
        <v>385.59</v>
      </c>
      <c r="Z25" s="120">
        <v>492.96</v>
      </c>
      <c r="AA25" s="120">
        <v>624.19000000000005</v>
      </c>
      <c r="AB25" s="119">
        <v>705.2</v>
      </c>
      <c r="AC25" s="121">
        <v>571.76</v>
      </c>
      <c r="AD25" s="121">
        <v>508.18</v>
      </c>
      <c r="AE25" s="122">
        <f t="shared" ref="AE25:AE36" si="17">SUM(S25:AD25)</f>
        <v>6427.1600000000008</v>
      </c>
      <c r="AH25" s="162"/>
      <c r="AI25" s="111"/>
      <c r="AJ25" s="123"/>
      <c r="AK25" s="124"/>
      <c r="AL25" s="163" t="s">
        <v>57</v>
      </c>
      <c r="AM25" s="116">
        <f>SUM(AM7,AM8,AM9,AM10,AM12,AM15,AM16,AM18,AM19,AM20,AM21,AM22,AM23,AM24)</f>
        <v>2276</v>
      </c>
      <c r="AN25" s="125"/>
    </row>
    <row r="26" spans="1:40" s="118" customFormat="1" x14ac:dyDescent="0.35">
      <c r="A26" s="162" t="s">
        <v>179</v>
      </c>
      <c r="B26" s="111" t="s">
        <v>159</v>
      </c>
      <c r="C26" s="112">
        <v>6</v>
      </c>
      <c r="D26" s="112">
        <v>4</v>
      </c>
      <c r="E26" s="112">
        <v>6</v>
      </c>
      <c r="F26" s="112">
        <v>5</v>
      </c>
      <c r="G26" s="112">
        <v>5</v>
      </c>
      <c r="H26" s="113">
        <v>6</v>
      </c>
      <c r="I26" s="114">
        <v>3</v>
      </c>
      <c r="J26" s="114">
        <v>5</v>
      </c>
      <c r="K26" s="114">
        <v>5</v>
      </c>
      <c r="L26" s="115">
        <v>5</v>
      </c>
      <c r="M26" s="116">
        <v>7</v>
      </c>
      <c r="N26" s="116">
        <v>8</v>
      </c>
      <c r="O26" s="117">
        <f t="shared" si="16"/>
        <v>65</v>
      </c>
      <c r="Q26" s="162" t="s">
        <v>180</v>
      </c>
      <c r="R26" s="111" t="s">
        <v>159</v>
      </c>
      <c r="S26" s="119">
        <v>82.34</v>
      </c>
      <c r="T26" s="119">
        <v>58.48</v>
      </c>
      <c r="U26" s="119">
        <v>82.34</v>
      </c>
      <c r="V26" s="119">
        <v>70.41</v>
      </c>
      <c r="W26" s="119">
        <v>70.41</v>
      </c>
      <c r="X26" s="120">
        <v>82.34</v>
      </c>
      <c r="Y26" s="120">
        <v>46.55</v>
      </c>
      <c r="Z26" s="120">
        <v>70.41</v>
      </c>
      <c r="AA26" s="120">
        <v>70.41</v>
      </c>
      <c r="AB26" s="119">
        <v>70.41</v>
      </c>
      <c r="AC26" s="121">
        <v>88.6</v>
      </c>
      <c r="AD26" s="121">
        <v>99.72</v>
      </c>
      <c r="AE26" s="122">
        <f t="shared" si="17"/>
        <v>892.42000000000007</v>
      </c>
      <c r="AH26" s="162"/>
      <c r="AI26" s="111"/>
      <c r="AJ26" s="123"/>
      <c r="AK26" s="124"/>
      <c r="AL26" s="164" t="s">
        <v>176</v>
      </c>
      <c r="AM26" s="116"/>
      <c r="AN26" s="125"/>
    </row>
    <row r="27" spans="1:40" s="118" customFormat="1" x14ac:dyDescent="0.35">
      <c r="A27" s="162" t="s">
        <v>181</v>
      </c>
      <c r="B27" s="111" t="s">
        <v>159</v>
      </c>
      <c r="C27" s="112">
        <v>40</v>
      </c>
      <c r="D27" s="112">
        <v>43</v>
      </c>
      <c r="E27" s="112">
        <v>67</v>
      </c>
      <c r="F27" s="112">
        <v>80</v>
      </c>
      <c r="G27" s="112">
        <v>72</v>
      </c>
      <c r="H27" s="113">
        <v>85</v>
      </c>
      <c r="I27" s="114">
        <v>37</v>
      </c>
      <c r="J27" s="114">
        <v>65</v>
      </c>
      <c r="K27" s="114">
        <v>94</v>
      </c>
      <c r="L27" s="115">
        <v>85</v>
      </c>
      <c r="M27" s="116">
        <v>85</v>
      </c>
      <c r="N27" s="116">
        <v>27</v>
      </c>
      <c r="O27" s="117">
        <f t="shared" si="16"/>
        <v>780</v>
      </c>
      <c r="Q27" s="162" t="s">
        <v>182</v>
      </c>
      <c r="R27" s="111" t="s">
        <v>159</v>
      </c>
      <c r="S27" s="119">
        <v>511.96</v>
      </c>
      <c r="T27" s="119">
        <v>547.75</v>
      </c>
      <c r="U27" s="119">
        <v>834.07</v>
      </c>
      <c r="V27" s="119">
        <v>989.16</v>
      </c>
      <c r="W27" s="119">
        <v>893.72</v>
      </c>
      <c r="X27" s="120">
        <v>1048.81</v>
      </c>
      <c r="Y27" s="141">
        <v>476.17</v>
      </c>
      <c r="Z27" s="141">
        <v>810.21</v>
      </c>
      <c r="AA27" s="120">
        <v>1156.18</v>
      </c>
      <c r="AB27" s="119">
        <v>1048.81</v>
      </c>
      <c r="AC27" s="121">
        <v>979.96</v>
      </c>
      <c r="AD27" s="121">
        <v>335</v>
      </c>
      <c r="AE27" s="122">
        <f t="shared" si="17"/>
        <v>9631.7999999999993</v>
      </c>
      <c r="AH27" s="162"/>
      <c r="AI27" s="111"/>
      <c r="AJ27" s="123"/>
      <c r="AK27" s="124"/>
      <c r="AL27" s="165" t="s">
        <v>178</v>
      </c>
      <c r="AM27" s="127">
        <v>62</v>
      </c>
      <c r="AN27" s="125"/>
    </row>
    <row r="28" spans="1:40" x14ac:dyDescent="0.35">
      <c r="A28" s="166" t="s">
        <v>183</v>
      </c>
      <c r="B28" s="166"/>
      <c r="C28" s="151">
        <v>32</v>
      </c>
      <c r="D28" s="151">
        <v>22</v>
      </c>
      <c r="E28" s="151">
        <v>221</v>
      </c>
      <c r="F28" s="151">
        <v>165</v>
      </c>
      <c r="G28" s="151">
        <v>229</v>
      </c>
      <c r="H28" s="167">
        <v>388</v>
      </c>
      <c r="I28" s="168">
        <v>340</v>
      </c>
      <c r="J28" s="169">
        <v>184</v>
      </c>
      <c r="K28" s="169">
        <v>447</v>
      </c>
      <c r="L28" s="151">
        <v>324</v>
      </c>
      <c r="M28" s="88">
        <v>409</v>
      </c>
      <c r="N28" s="88">
        <v>33</v>
      </c>
      <c r="O28" s="100">
        <f t="shared" si="16"/>
        <v>2794</v>
      </c>
      <c r="Q28" s="170" t="s">
        <v>183</v>
      </c>
      <c r="R28" s="166"/>
      <c r="S28" s="101">
        <f t="shared" ref="S28:S36" si="18">(C28/$C$67)*$S$76</f>
        <v>487.70765895106945</v>
      </c>
      <c r="T28" s="101">
        <f t="shared" ref="T28:T36" si="19">(D28/$D$67)*$T$76</f>
        <v>424.27419173686326</v>
      </c>
      <c r="U28" s="101">
        <f t="shared" ref="U28:U36" si="20">(E28/$E$67)*$U$76</f>
        <v>2963.7419042413644</v>
      </c>
      <c r="V28" s="101">
        <f t="shared" ref="V28:V36" si="21">(F28/$F$67)*$V$76</f>
        <v>3292.1695633561644</v>
      </c>
      <c r="W28" s="101">
        <f t="shared" ref="W28:W36" si="22">(G28/$G$67)*$W$76</f>
        <v>3548.5285448648651</v>
      </c>
      <c r="X28" s="102">
        <f t="shared" ref="X28:X36" si="23">(H28/$H$67)*$X$76</f>
        <v>6123.9277559495285</v>
      </c>
      <c r="Y28" s="102">
        <f t="shared" ref="Y28:Y36" si="24">(I28/$I$67)*$Y$76</f>
        <v>2715.6562603648426</v>
      </c>
      <c r="Z28" s="102">
        <f t="shared" ref="Z28:Z36" si="25">(J28/$J$67)*$Z$76</f>
        <v>3021.4503860294117</v>
      </c>
      <c r="AA28" s="102">
        <f t="shared" ref="AA28:AA35" si="26">(K28/$K$67)*$AA$76</f>
        <v>6128.5157352164724</v>
      </c>
      <c r="AB28" s="101">
        <f t="shared" ref="AB28:AB36" si="27">(L28/$L$67)*$AB$76</f>
        <v>4153.377331350548</v>
      </c>
      <c r="AC28" s="101">
        <f t="shared" ref="AC28:AC36" si="28">(M28/$M$67)*$AC$76</f>
        <v>4115.64357160283</v>
      </c>
      <c r="AD28" s="101">
        <f t="shared" ref="AD28:AD36" si="29">(N28/$N$67)*$AD$76</f>
        <v>299.20406265457541</v>
      </c>
      <c r="AE28" s="134">
        <f t="shared" si="17"/>
        <v>37274.196966318537</v>
      </c>
      <c r="AH28" s="170"/>
      <c r="AI28" s="166"/>
      <c r="AJ28" s="143"/>
      <c r="AK28" s="70"/>
      <c r="AL28" s="171" t="s">
        <v>180</v>
      </c>
      <c r="AM28" s="135">
        <v>5</v>
      </c>
      <c r="AN28" s="172"/>
    </row>
    <row r="29" spans="1:40" x14ac:dyDescent="0.35">
      <c r="A29" s="166" t="s">
        <v>184</v>
      </c>
      <c r="B29" s="166"/>
      <c r="C29" s="151">
        <v>32</v>
      </c>
      <c r="D29" s="151">
        <v>22</v>
      </c>
      <c r="E29" s="151">
        <v>221</v>
      </c>
      <c r="F29" s="151">
        <v>165</v>
      </c>
      <c r="G29" s="151">
        <v>229</v>
      </c>
      <c r="H29" s="167">
        <v>388</v>
      </c>
      <c r="I29" s="168">
        <v>340</v>
      </c>
      <c r="J29" s="169">
        <v>184</v>
      </c>
      <c r="K29" s="169">
        <v>447</v>
      </c>
      <c r="L29" s="151">
        <v>324</v>
      </c>
      <c r="M29" s="88">
        <v>409</v>
      </c>
      <c r="N29" s="88">
        <v>33</v>
      </c>
      <c r="O29" s="100">
        <f t="shared" si="16"/>
        <v>2794</v>
      </c>
      <c r="Q29" s="170" t="s">
        <v>184</v>
      </c>
      <c r="R29" s="166"/>
      <c r="S29" s="101">
        <f t="shared" si="18"/>
        <v>487.70765895106945</v>
      </c>
      <c r="T29" s="101">
        <f t="shared" si="19"/>
        <v>424.27419173686326</v>
      </c>
      <c r="U29" s="101">
        <f t="shared" si="20"/>
        <v>2963.7419042413644</v>
      </c>
      <c r="V29" s="101">
        <f t="shared" si="21"/>
        <v>3292.1695633561644</v>
      </c>
      <c r="W29" s="101">
        <f t="shared" si="22"/>
        <v>3548.5285448648651</v>
      </c>
      <c r="X29" s="102">
        <f t="shared" si="23"/>
        <v>6123.9277559495285</v>
      </c>
      <c r="Y29" s="102">
        <f t="shared" si="24"/>
        <v>2715.6562603648426</v>
      </c>
      <c r="Z29" s="102">
        <f t="shared" si="25"/>
        <v>3021.4503860294117</v>
      </c>
      <c r="AA29" s="102">
        <f t="shared" si="26"/>
        <v>6128.5157352164724</v>
      </c>
      <c r="AB29" s="101">
        <f t="shared" si="27"/>
        <v>4153.377331350548</v>
      </c>
      <c r="AC29" s="101">
        <f t="shared" si="28"/>
        <v>4115.64357160283</v>
      </c>
      <c r="AD29" s="101">
        <f t="shared" si="29"/>
        <v>299.20406265457541</v>
      </c>
      <c r="AE29" s="134">
        <f t="shared" si="17"/>
        <v>37274.196966318537</v>
      </c>
      <c r="AH29" s="170"/>
      <c r="AI29" s="166"/>
      <c r="AJ29" s="143"/>
      <c r="AK29" s="70"/>
      <c r="AL29" s="171" t="s">
        <v>182</v>
      </c>
      <c r="AM29" s="135">
        <v>85</v>
      </c>
      <c r="AN29" s="172"/>
    </row>
    <row r="30" spans="1:40" x14ac:dyDescent="0.35">
      <c r="A30" s="166" t="s">
        <v>185</v>
      </c>
      <c r="B30" s="166"/>
      <c r="C30" s="151">
        <v>5</v>
      </c>
      <c r="D30" s="151">
        <v>71</v>
      </c>
      <c r="E30" s="173">
        <v>250</v>
      </c>
      <c r="F30" s="151">
        <v>248</v>
      </c>
      <c r="G30" s="151">
        <v>189</v>
      </c>
      <c r="H30" s="167">
        <v>164</v>
      </c>
      <c r="I30" s="168">
        <v>160</v>
      </c>
      <c r="J30" s="174">
        <v>300</v>
      </c>
      <c r="K30" s="169">
        <v>329</v>
      </c>
      <c r="L30" s="151">
        <v>228</v>
      </c>
      <c r="M30" s="88">
        <v>289</v>
      </c>
      <c r="N30" s="88">
        <v>10</v>
      </c>
      <c r="O30" s="100">
        <f t="shared" si="16"/>
        <v>2243</v>
      </c>
      <c r="Q30" s="170" t="s">
        <v>185</v>
      </c>
      <c r="R30" s="166"/>
      <c r="S30" s="101">
        <f t="shared" si="18"/>
        <v>76.204321711104598</v>
      </c>
      <c r="T30" s="101">
        <f t="shared" si="19"/>
        <v>1369.2485278780587</v>
      </c>
      <c r="U30" s="101">
        <f t="shared" si="20"/>
        <v>3352.6492129427197</v>
      </c>
      <c r="V30" s="101">
        <f t="shared" si="21"/>
        <v>4948.2306164383563</v>
      </c>
      <c r="W30" s="101">
        <f t="shared" si="22"/>
        <v>2928.6982313513518</v>
      </c>
      <c r="X30" s="102">
        <f t="shared" si="23"/>
        <v>2588.4643092157803</v>
      </c>
      <c r="Y30" s="102">
        <f t="shared" si="24"/>
        <v>1277.9558872305142</v>
      </c>
      <c r="Z30" s="102">
        <f t="shared" si="25"/>
        <v>4926.2778033088234</v>
      </c>
      <c r="AA30" s="102">
        <f t="shared" si="26"/>
        <v>4510.6972637275603</v>
      </c>
      <c r="AB30" s="101">
        <f t="shared" si="27"/>
        <v>2922.7470109503856</v>
      </c>
      <c r="AC30" s="101">
        <f t="shared" si="28"/>
        <v>2908.1197853134913</v>
      </c>
      <c r="AD30" s="101">
        <f t="shared" si="29"/>
        <v>90.667897774113769</v>
      </c>
      <c r="AE30" s="134">
        <f t="shared" si="17"/>
        <v>31899.960867842259</v>
      </c>
      <c r="AH30" s="170"/>
      <c r="AI30" s="166"/>
      <c r="AJ30" s="143"/>
      <c r="AK30" s="70"/>
      <c r="AL30" s="170" t="s">
        <v>183</v>
      </c>
      <c r="AM30" s="88">
        <v>324</v>
      </c>
      <c r="AN30" s="172"/>
    </row>
    <row r="31" spans="1:40" x14ac:dyDescent="0.35">
      <c r="A31" s="166" t="s">
        <v>186</v>
      </c>
      <c r="B31" s="166"/>
      <c r="C31" s="151">
        <v>110</v>
      </c>
      <c r="D31" s="151">
        <v>138</v>
      </c>
      <c r="E31" s="151">
        <v>158</v>
      </c>
      <c r="F31" s="151">
        <v>166</v>
      </c>
      <c r="G31" s="151">
        <v>151</v>
      </c>
      <c r="H31" s="167">
        <v>273</v>
      </c>
      <c r="I31" s="167">
        <v>161</v>
      </c>
      <c r="J31" s="169">
        <v>145</v>
      </c>
      <c r="K31" s="169">
        <v>307</v>
      </c>
      <c r="L31" s="151">
        <v>262</v>
      </c>
      <c r="M31" s="88">
        <v>321</v>
      </c>
      <c r="N31" s="88">
        <v>214</v>
      </c>
      <c r="O31" s="100">
        <f t="shared" si="16"/>
        <v>2406</v>
      </c>
      <c r="Q31" s="170" t="s">
        <v>186</v>
      </c>
      <c r="R31" s="166"/>
      <c r="S31" s="101">
        <f t="shared" si="18"/>
        <v>1676.4950776443013</v>
      </c>
      <c r="T31" s="101">
        <f t="shared" si="19"/>
        <v>2661.3562936221424</v>
      </c>
      <c r="U31" s="101">
        <f t="shared" si="20"/>
        <v>2118.8743025797985</v>
      </c>
      <c r="V31" s="101">
        <f t="shared" si="21"/>
        <v>3312.1221061643837</v>
      </c>
      <c r="W31" s="101">
        <f t="shared" si="22"/>
        <v>2339.859433513514</v>
      </c>
      <c r="X31" s="102">
        <f t="shared" si="23"/>
        <v>4308.846075706756</v>
      </c>
      <c r="Y31" s="102">
        <f t="shared" si="24"/>
        <v>1285.943111525705</v>
      </c>
      <c r="Z31" s="102">
        <f t="shared" si="25"/>
        <v>2381.0342715992647</v>
      </c>
      <c r="AA31" s="102">
        <f t="shared" si="26"/>
        <v>4209.0700910770847</v>
      </c>
      <c r="AB31" s="101">
        <f t="shared" si="27"/>
        <v>3358.5952494254429</v>
      </c>
      <c r="AC31" s="101">
        <f t="shared" si="28"/>
        <v>3230.1261283239814</v>
      </c>
      <c r="AD31" s="101">
        <f t="shared" si="29"/>
        <v>1940.2930123660349</v>
      </c>
      <c r="AE31" s="134">
        <f t="shared" si="17"/>
        <v>32822.61515354841</v>
      </c>
      <c r="AH31" s="170"/>
      <c r="AI31" s="166"/>
      <c r="AJ31" s="143"/>
      <c r="AK31" s="70"/>
      <c r="AL31" s="170" t="s">
        <v>184</v>
      </c>
      <c r="AM31" s="88">
        <v>324</v>
      </c>
      <c r="AN31" s="172"/>
    </row>
    <row r="32" spans="1:40" x14ac:dyDescent="0.35">
      <c r="A32" s="166" t="s">
        <v>187</v>
      </c>
      <c r="B32" s="166"/>
      <c r="C32" s="151">
        <v>15</v>
      </c>
      <c r="D32" s="151">
        <v>15</v>
      </c>
      <c r="E32" s="151">
        <v>140</v>
      </c>
      <c r="F32" s="151">
        <v>241</v>
      </c>
      <c r="G32" s="151">
        <v>241</v>
      </c>
      <c r="H32" s="167">
        <v>173</v>
      </c>
      <c r="I32" s="167">
        <v>150</v>
      </c>
      <c r="J32" s="169">
        <v>131</v>
      </c>
      <c r="K32" s="169">
        <v>337</v>
      </c>
      <c r="L32" s="151">
        <v>229</v>
      </c>
      <c r="M32" s="88">
        <v>294</v>
      </c>
      <c r="N32" s="88">
        <v>9</v>
      </c>
      <c r="O32" s="100">
        <f t="shared" si="16"/>
        <v>1975</v>
      </c>
      <c r="Q32" s="170" t="s">
        <v>187</v>
      </c>
      <c r="R32" s="166"/>
      <c r="S32" s="101">
        <f t="shared" si="18"/>
        <v>228.61296513331379</v>
      </c>
      <c r="T32" s="101">
        <f t="shared" si="19"/>
        <v>289.27785800240679</v>
      </c>
      <c r="U32" s="101">
        <f t="shared" si="20"/>
        <v>1877.483559247923</v>
      </c>
      <c r="V32" s="101">
        <f t="shared" si="21"/>
        <v>4808.5628167808218</v>
      </c>
      <c r="W32" s="101">
        <f t="shared" si="22"/>
        <v>3734.4776389189192</v>
      </c>
      <c r="X32" s="102">
        <f t="shared" si="23"/>
        <v>2730.5141798434752</v>
      </c>
      <c r="Y32" s="102">
        <f t="shared" si="24"/>
        <v>1198.0836442786072</v>
      </c>
      <c r="Z32" s="102">
        <f t="shared" si="25"/>
        <v>2151.1413074448528</v>
      </c>
      <c r="AA32" s="102">
        <f t="shared" si="26"/>
        <v>4620.3798719640972</v>
      </c>
      <c r="AB32" s="101">
        <f t="shared" si="27"/>
        <v>2935.5660767878871</v>
      </c>
      <c r="AC32" s="101">
        <f t="shared" si="28"/>
        <v>2958.4332764088799</v>
      </c>
      <c r="AD32" s="101">
        <f t="shared" si="29"/>
        <v>81.601107996702396</v>
      </c>
      <c r="AE32" s="134">
        <f t="shared" si="17"/>
        <v>27614.134302807888</v>
      </c>
      <c r="AH32" s="170"/>
      <c r="AI32" s="166"/>
      <c r="AJ32" s="143"/>
      <c r="AK32" s="70"/>
      <c r="AL32" s="170" t="s">
        <v>185</v>
      </c>
      <c r="AM32" s="88">
        <v>228</v>
      </c>
      <c r="AN32" s="172"/>
    </row>
    <row r="33" spans="1:40" x14ac:dyDescent="0.35">
      <c r="A33" s="166" t="s">
        <v>188</v>
      </c>
      <c r="B33" s="166"/>
      <c r="C33" s="151">
        <v>15</v>
      </c>
      <c r="D33" s="151">
        <v>15</v>
      </c>
      <c r="E33" s="151">
        <v>140</v>
      </c>
      <c r="F33" s="151">
        <v>241</v>
      </c>
      <c r="G33" s="151">
        <v>241</v>
      </c>
      <c r="H33" s="167">
        <v>173</v>
      </c>
      <c r="I33" s="167">
        <v>150</v>
      </c>
      <c r="J33" s="169">
        <v>131</v>
      </c>
      <c r="K33" s="169">
        <v>337</v>
      </c>
      <c r="L33" s="151">
        <v>229</v>
      </c>
      <c r="M33" s="88">
        <v>294</v>
      </c>
      <c r="N33" s="88">
        <v>9</v>
      </c>
      <c r="O33" s="100">
        <f t="shared" si="16"/>
        <v>1975</v>
      </c>
      <c r="Q33" s="170" t="s">
        <v>188</v>
      </c>
      <c r="R33" s="166"/>
      <c r="S33" s="101">
        <f t="shared" si="18"/>
        <v>228.61296513331379</v>
      </c>
      <c r="T33" s="101">
        <f t="shared" si="19"/>
        <v>289.27785800240679</v>
      </c>
      <c r="U33" s="101">
        <f t="shared" si="20"/>
        <v>1877.483559247923</v>
      </c>
      <c r="V33" s="101">
        <f t="shared" si="21"/>
        <v>4808.5628167808218</v>
      </c>
      <c r="W33" s="101">
        <f t="shared" si="22"/>
        <v>3734.4776389189192</v>
      </c>
      <c r="X33" s="102">
        <f t="shared" si="23"/>
        <v>2730.5141798434752</v>
      </c>
      <c r="Y33" s="102">
        <f t="shared" si="24"/>
        <v>1198.0836442786072</v>
      </c>
      <c r="Z33" s="102">
        <f t="shared" si="25"/>
        <v>2151.1413074448528</v>
      </c>
      <c r="AA33" s="102">
        <f t="shared" si="26"/>
        <v>4620.3798719640972</v>
      </c>
      <c r="AB33" s="101">
        <f t="shared" si="27"/>
        <v>2935.5660767878871</v>
      </c>
      <c r="AC33" s="101">
        <f t="shared" si="28"/>
        <v>2958.4332764088799</v>
      </c>
      <c r="AD33" s="101">
        <f t="shared" si="29"/>
        <v>81.601107996702396</v>
      </c>
      <c r="AE33" s="134">
        <f t="shared" si="17"/>
        <v>27614.134302807888</v>
      </c>
      <c r="AH33" s="170"/>
      <c r="AI33" s="166"/>
      <c r="AJ33" s="143"/>
      <c r="AK33" s="70"/>
      <c r="AL33" s="170" t="s">
        <v>186</v>
      </c>
      <c r="AM33" s="88">
        <v>262</v>
      </c>
      <c r="AN33" s="172"/>
    </row>
    <row r="34" spans="1:40" x14ac:dyDescent="0.35">
      <c r="A34" s="166" t="s">
        <v>189</v>
      </c>
      <c r="B34" s="166"/>
      <c r="C34" s="151">
        <v>27</v>
      </c>
      <c r="D34" s="151">
        <v>10</v>
      </c>
      <c r="E34" s="151">
        <v>60</v>
      </c>
      <c r="F34" s="151">
        <v>71</v>
      </c>
      <c r="G34" s="151">
        <v>57</v>
      </c>
      <c r="H34" s="167">
        <v>104</v>
      </c>
      <c r="I34" s="167">
        <v>51</v>
      </c>
      <c r="J34" s="169">
        <v>66</v>
      </c>
      <c r="K34" s="169">
        <v>113</v>
      </c>
      <c r="L34" s="151">
        <v>103</v>
      </c>
      <c r="M34" s="88">
        <v>116</v>
      </c>
      <c r="N34" s="88">
        <v>151</v>
      </c>
      <c r="O34" s="100">
        <f t="shared" si="16"/>
        <v>929</v>
      </c>
      <c r="Q34" s="170" t="s">
        <v>189</v>
      </c>
      <c r="R34" s="166"/>
      <c r="S34" s="101">
        <f t="shared" si="18"/>
        <v>411.50333723996476</v>
      </c>
      <c r="T34" s="101">
        <f t="shared" si="19"/>
        <v>192.85190533493787</v>
      </c>
      <c r="U34" s="101">
        <f t="shared" si="20"/>
        <v>804.63581110625273</v>
      </c>
      <c r="V34" s="101">
        <f t="shared" si="21"/>
        <v>1416.6305393835617</v>
      </c>
      <c r="W34" s="101">
        <f t="shared" si="22"/>
        <v>883.25819675675677</v>
      </c>
      <c r="X34" s="102">
        <f t="shared" si="23"/>
        <v>1641.4651716978119</v>
      </c>
      <c r="Y34" s="102">
        <f t="shared" si="24"/>
        <v>407.34843905472644</v>
      </c>
      <c r="Z34" s="102">
        <f t="shared" si="25"/>
        <v>1083.781116727941</v>
      </c>
      <c r="AA34" s="102">
        <f t="shared" si="26"/>
        <v>1549.266841341077</v>
      </c>
      <c r="AB34" s="101">
        <f t="shared" si="27"/>
        <v>1320.3637812626741</v>
      </c>
      <c r="AC34" s="101">
        <f t="shared" si="28"/>
        <v>1167.2729934130275</v>
      </c>
      <c r="AD34" s="101">
        <f t="shared" si="29"/>
        <v>1369.0852563891178</v>
      </c>
      <c r="AE34" s="134">
        <f t="shared" si="17"/>
        <v>12247.463389707851</v>
      </c>
      <c r="AH34" s="170"/>
      <c r="AI34" s="166"/>
      <c r="AJ34" s="143"/>
      <c r="AK34" s="70"/>
      <c r="AL34" s="170" t="s">
        <v>187</v>
      </c>
      <c r="AM34" s="88">
        <v>229</v>
      </c>
      <c r="AN34" s="172"/>
    </row>
    <row r="35" spans="1:40" x14ac:dyDescent="0.35">
      <c r="A35" s="166" t="s">
        <v>190</v>
      </c>
      <c r="B35" s="166"/>
      <c r="C35" s="151">
        <v>32</v>
      </c>
      <c r="D35" s="151">
        <v>22</v>
      </c>
      <c r="E35" s="151">
        <v>221</v>
      </c>
      <c r="F35" s="151">
        <v>165</v>
      </c>
      <c r="G35" s="151">
        <v>229</v>
      </c>
      <c r="H35" s="167">
        <v>388</v>
      </c>
      <c r="I35" s="168">
        <v>340</v>
      </c>
      <c r="J35" s="169">
        <v>184</v>
      </c>
      <c r="K35" s="169">
        <v>447</v>
      </c>
      <c r="L35" s="151">
        <v>324</v>
      </c>
      <c r="M35" s="88">
        <v>409</v>
      </c>
      <c r="N35" s="88">
        <v>33</v>
      </c>
      <c r="O35" s="100">
        <f t="shared" si="16"/>
        <v>2794</v>
      </c>
      <c r="Q35" s="170" t="s">
        <v>190</v>
      </c>
      <c r="R35" s="166"/>
      <c r="S35" s="101">
        <f t="shared" si="18"/>
        <v>487.70765895106945</v>
      </c>
      <c r="T35" s="101">
        <f t="shared" si="19"/>
        <v>424.27419173686326</v>
      </c>
      <c r="U35" s="101">
        <f t="shared" si="20"/>
        <v>2963.7419042413644</v>
      </c>
      <c r="V35" s="101">
        <f t="shared" si="21"/>
        <v>3292.1695633561644</v>
      </c>
      <c r="W35" s="101">
        <f t="shared" si="22"/>
        <v>3548.5285448648651</v>
      </c>
      <c r="X35" s="102">
        <f t="shared" si="23"/>
        <v>6123.9277559495285</v>
      </c>
      <c r="Y35" s="102">
        <f t="shared" si="24"/>
        <v>2715.6562603648426</v>
      </c>
      <c r="Z35" s="102">
        <f t="shared" si="25"/>
        <v>3021.4503860294117</v>
      </c>
      <c r="AA35" s="102">
        <f t="shared" si="26"/>
        <v>6128.5157352164724</v>
      </c>
      <c r="AB35" s="101">
        <f t="shared" si="27"/>
        <v>4153.377331350548</v>
      </c>
      <c r="AC35" s="101">
        <f t="shared" si="28"/>
        <v>4115.64357160283</v>
      </c>
      <c r="AD35" s="101">
        <f t="shared" si="29"/>
        <v>299.20406265457541</v>
      </c>
      <c r="AE35" s="134">
        <f t="shared" si="17"/>
        <v>37274.196966318537</v>
      </c>
      <c r="AH35" s="170"/>
      <c r="AI35" s="166"/>
      <c r="AJ35" s="143"/>
      <c r="AK35" s="70"/>
      <c r="AL35" s="170" t="s">
        <v>188</v>
      </c>
      <c r="AM35" s="88">
        <v>229</v>
      </c>
      <c r="AN35" s="172"/>
    </row>
    <row r="36" spans="1:40" x14ac:dyDescent="0.35">
      <c r="A36" s="166" t="s">
        <v>191</v>
      </c>
      <c r="B36" s="166"/>
      <c r="C36" s="151">
        <v>59</v>
      </c>
      <c r="D36" s="151">
        <v>42</v>
      </c>
      <c r="E36" s="151">
        <v>414</v>
      </c>
      <c r="F36" s="151">
        <v>312</v>
      </c>
      <c r="G36" s="151">
        <v>428</v>
      </c>
      <c r="H36" s="167">
        <v>732</v>
      </c>
      <c r="I36" s="168">
        <v>640</v>
      </c>
      <c r="J36" s="169">
        <v>342</v>
      </c>
      <c r="K36" s="169">
        <v>840</v>
      </c>
      <c r="L36" s="151">
        <v>610</v>
      </c>
      <c r="M36" s="88">
        <v>774</v>
      </c>
      <c r="N36" s="88">
        <v>58</v>
      </c>
      <c r="O36" s="100">
        <f>SUM(C36:N36)</f>
        <v>5251</v>
      </c>
      <c r="Q36" s="170" t="s">
        <v>191</v>
      </c>
      <c r="R36" s="166"/>
      <c r="S36" s="101">
        <f t="shared" si="18"/>
        <v>899.21099619103427</v>
      </c>
      <c r="T36" s="101">
        <f t="shared" si="19"/>
        <v>809.97800240673882</v>
      </c>
      <c r="U36" s="101">
        <f t="shared" si="20"/>
        <v>5551.9870966331446</v>
      </c>
      <c r="V36" s="101">
        <f t="shared" si="21"/>
        <v>6225.1933561643837</v>
      </c>
      <c r="W36" s="101">
        <f t="shared" si="22"/>
        <v>6632.1843545945958</v>
      </c>
      <c r="X36" s="102">
        <f t="shared" si="23"/>
        <v>11553.389477719214</v>
      </c>
      <c r="Y36" s="102">
        <f t="shared" si="24"/>
        <v>5111.8235489220569</v>
      </c>
      <c r="Z36" s="102">
        <f t="shared" si="25"/>
        <v>5615.9566957720581</v>
      </c>
      <c r="AA36" s="102">
        <f>(K36/$K$67)*$AA$76</f>
        <v>11516.673864836324</v>
      </c>
      <c r="AB36" s="101">
        <f t="shared" si="27"/>
        <v>7819.6301608760314</v>
      </c>
      <c r="AC36" s="101">
        <f t="shared" si="28"/>
        <v>7788.5284215662359</v>
      </c>
      <c r="AD36" s="101">
        <f t="shared" si="29"/>
        <v>525.87380708985984</v>
      </c>
      <c r="AE36" s="134">
        <f t="shared" si="17"/>
        <v>70050.42978277168</v>
      </c>
      <c r="AH36" s="170"/>
      <c r="AI36" s="166"/>
      <c r="AJ36" s="143"/>
      <c r="AK36" s="70"/>
      <c r="AL36" s="170" t="s">
        <v>189</v>
      </c>
      <c r="AM36" s="88">
        <v>103</v>
      </c>
      <c r="AN36" s="172"/>
    </row>
    <row r="37" spans="1:40" x14ac:dyDescent="0.35">
      <c r="A37" s="166" t="s">
        <v>192</v>
      </c>
      <c r="B37" s="166"/>
      <c r="C37" s="66" t="s">
        <v>164</v>
      </c>
      <c r="D37" s="66" t="s">
        <v>164</v>
      </c>
      <c r="E37" s="66" t="s">
        <v>164</v>
      </c>
      <c r="F37" s="66" t="s">
        <v>164</v>
      </c>
      <c r="G37" s="66" t="s">
        <v>164</v>
      </c>
      <c r="H37" s="175" t="s">
        <v>164</v>
      </c>
      <c r="I37" s="175" t="s">
        <v>164</v>
      </c>
      <c r="J37" s="175" t="s">
        <v>164</v>
      </c>
      <c r="K37" s="175" t="s">
        <v>164</v>
      </c>
      <c r="L37" s="66" t="s">
        <v>164</v>
      </c>
      <c r="M37" s="66" t="s">
        <v>164</v>
      </c>
      <c r="N37" s="66" t="s">
        <v>164</v>
      </c>
      <c r="O37" s="176" t="s">
        <v>164</v>
      </c>
      <c r="Q37" s="166" t="s">
        <v>192</v>
      </c>
      <c r="R37" s="166"/>
      <c r="S37" s="66" t="s">
        <v>164</v>
      </c>
      <c r="T37" s="66" t="s">
        <v>164</v>
      </c>
      <c r="U37" s="66" t="s">
        <v>164</v>
      </c>
      <c r="V37" s="66" t="s">
        <v>164</v>
      </c>
      <c r="W37" s="177" t="s">
        <v>164</v>
      </c>
      <c r="X37" s="178" t="s">
        <v>164</v>
      </c>
      <c r="Y37" s="178" t="s">
        <v>164</v>
      </c>
      <c r="Z37" s="178" t="s">
        <v>164</v>
      </c>
      <c r="AA37" s="175" t="s">
        <v>164</v>
      </c>
      <c r="AB37" s="132" t="s">
        <v>164</v>
      </c>
      <c r="AC37" s="177" t="s">
        <v>164</v>
      </c>
      <c r="AD37" s="177" t="s">
        <v>164</v>
      </c>
      <c r="AE37" s="179" t="s">
        <v>164</v>
      </c>
      <c r="AH37" s="166"/>
      <c r="AI37" s="166"/>
      <c r="AJ37" s="180"/>
      <c r="AK37" s="181"/>
      <c r="AL37" s="170" t="s">
        <v>190</v>
      </c>
      <c r="AM37" s="88">
        <v>324</v>
      </c>
      <c r="AN37" s="172"/>
    </row>
    <row r="38" spans="1:40" x14ac:dyDescent="0.35">
      <c r="A38" s="166" t="s">
        <v>193</v>
      </c>
      <c r="B38" s="166"/>
      <c r="C38" s="151">
        <v>32</v>
      </c>
      <c r="D38" s="151">
        <v>22</v>
      </c>
      <c r="E38" s="151">
        <v>221</v>
      </c>
      <c r="F38" s="151">
        <v>165</v>
      </c>
      <c r="G38" s="151">
        <v>229</v>
      </c>
      <c r="H38" s="167">
        <v>388</v>
      </c>
      <c r="I38" s="168">
        <v>340</v>
      </c>
      <c r="J38" s="169">
        <v>184</v>
      </c>
      <c r="K38" s="169">
        <v>447</v>
      </c>
      <c r="L38" s="151">
        <v>324</v>
      </c>
      <c r="M38" s="88">
        <v>409</v>
      </c>
      <c r="N38" s="88">
        <v>33</v>
      </c>
      <c r="O38" s="100">
        <f t="shared" ref="O38:O44" si="30">SUM(C38:N38)</f>
        <v>2794</v>
      </c>
      <c r="Q38" s="170" t="s">
        <v>193</v>
      </c>
      <c r="R38" s="170"/>
      <c r="S38" s="101">
        <f t="shared" ref="S38:S44" si="31">(C38/$C$67)*$S$76</f>
        <v>487.70765895106945</v>
      </c>
      <c r="T38" s="101">
        <f t="shared" ref="T38:T44" si="32">(D38/$D$67)*$T$76</f>
        <v>424.27419173686326</v>
      </c>
      <c r="U38" s="101">
        <f t="shared" ref="U38:U44" si="33">(E38/$E$67)*$U$76</f>
        <v>2963.7419042413644</v>
      </c>
      <c r="V38" s="101">
        <f t="shared" ref="V38:V44" si="34">(F38/$F$67)*$V$76</f>
        <v>3292.1695633561644</v>
      </c>
      <c r="W38" s="101">
        <f t="shared" ref="W38:W44" si="35">(G38/$G$67)*$W$76</f>
        <v>3548.5285448648651</v>
      </c>
      <c r="X38" s="102">
        <f t="shared" ref="X38:X44" si="36">(H38/$H$67)*$X$76</f>
        <v>6123.9277559495285</v>
      </c>
      <c r="Y38" s="102">
        <f t="shared" ref="Y38:Y44" si="37">(I38/$I$67)*$Y$76</f>
        <v>2715.6562603648426</v>
      </c>
      <c r="Z38" s="102">
        <f t="shared" ref="Z38:Z44" si="38">(J38/$J$67)*$Z$76</f>
        <v>3021.4503860294117</v>
      </c>
      <c r="AA38" s="102">
        <f t="shared" ref="AA38:AA44" si="39">(K38/$K$67)*$AA$76</f>
        <v>6128.5157352164724</v>
      </c>
      <c r="AB38" s="101">
        <f t="shared" ref="AB38:AB44" si="40">(L38/$L$67)*$AB$76</f>
        <v>4153.377331350548</v>
      </c>
      <c r="AC38" s="101">
        <f t="shared" ref="AC38:AC44" si="41">(M38/$M$67)*$AC$76</f>
        <v>4115.64357160283</v>
      </c>
      <c r="AD38" s="101">
        <f t="shared" ref="AD38:AD44" si="42">(N38/$N$67)*$AD$76</f>
        <v>299.20406265457541</v>
      </c>
      <c r="AE38" s="134">
        <f t="shared" ref="AE38:AE44" si="43">SUM(S38:AD38)</f>
        <v>37274.196966318537</v>
      </c>
      <c r="AH38" s="170"/>
      <c r="AI38" s="170"/>
      <c r="AJ38" s="143"/>
      <c r="AK38" s="70"/>
      <c r="AL38" s="170" t="s">
        <v>191</v>
      </c>
      <c r="AM38" s="88">
        <v>610</v>
      </c>
      <c r="AN38" s="172"/>
    </row>
    <row r="39" spans="1:40" x14ac:dyDescent="0.35">
      <c r="A39" s="166" t="s">
        <v>89</v>
      </c>
      <c r="B39" s="166"/>
      <c r="C39" s="151">
        <v>14</v>
      </c>
      <c r="D39" s="151">
        <v>15</v>
      </c>
      <c r="E39" s="151">
        <v>44</v>
      </c>
      <c r="F39" s="151">
        <v>50</v>
      </c>
      <c r="G39" s="151">
        <v>41</v>
      </c>
      <c r="H39" s="167">
        <v>65</v>
      </c>
      <c r="I39" s="167">
        <v>16</v>
      </c>
      <c r="J39" s="169">
        <v>58</v>
      </c>
      <c r="K39" s="169">
        <v>109</v>
      </c>
      <c r="L39" s="151">
        <v>49</v>
      </c>
      <c r="M39" s="182">
        <v>49</v>
      </c>
      <c r="N39" s="88">
        <v>19</v>
      </c>
      <c r="O39" s="100">
        <f t="shared" si="30"/>
        <v>529</v>
      </c>
      <c r="Q39" s="170" t="s">
        <v>89</v>
      </c>
      <c r="R39" s="170"/>
      <c r="S39" s="101">
        <f t="shared" si="31"/>
        <v>213.37210079109289</v>
      </c>
      <c r="T39" s="101">
        <f t="shared" si="32"/>
        <v>289.27785800240679</v>
      </c>
      <c r="U39" s="101">
        <f t="shared" si="33"/>
        <v>590.06626147791872</v>
      </c>
      <c r="V39" s="101">
        <f t="shared" si="34"/>
        <v>997.62714041095887</v>
      </c>
      <c r="W39" s="101">
        <f t="shared" si="35"/>
        <v>635.3260713513514</v>
      </c>
      <c r="X39" s="102">
        <f t="shared" si="36"/>
        <v>1025.9157323111324</v>
      </c>
      <c r="Y39" s="102">
        <f t="shared" si="37"/>
        <v>127.79558872305142</v>
      </c>
      <c r="Z39" s="102">
        <f t="shared" si="38"/>
        <v>952.41370863970576</v>
      </c>
      <c r="AA39" s="102">
        <f t="shared" si="39"/>
        <v>1494.4255372228088</v>
      </c>
      <c r="AB39" s="101">
        <f t="shared" si="40"/>
        <v>628.13422603758283</v>
      </c>
      <c r="AC39" s="101">
        <f t="shared" si="41"/>
        <v>493.07221273481338</v>
      </c>
      <c r="AD39" s="101">
        <f t="shared" si="42"/>
        <v>172.26900577081616</v>
      </c>
      <c r="AE39" s="134">
        <f t="shared" si="43"/>
        <v>7619.6954434736399</v>
      </c>
      <c r="AH39" s="170"/>
      <c r="AI39" s="170"/>
      <c r="AJ39" s="143"/>
      <c r="AK39" s="70"/>
      <c r="AL39" s="166" t="s">
        <v>192</v>
      </c>
      <c r="AM39" s="66" t="s">
        <v>164</v>
      </c>
      <c r="AN39" s="172"/>
    </row>
    <row r="40" spans="1:40" x14ac:dyDescent="0.35">
      <c r="A40" s="166" t="s">
        <v>194</v>
      </c>
      <c r="B40" s="166"/>
      <c r="C40" s="151">
        <v>170</v>
      </c>
      <c r="D40" s="151">
        <v>123</v>
      </c>
      <c r="E40" s="151">
        <v>290</v>
      </c>
      <c r="F40" s="151">
        <v>311</v>
      </c>
      <c r="G40" s="151">
        <v>334</v>
      </c>
      <c r="H40" s="167">
        <v>566</v>
      </c>
      <c r="I40" s="167">
        <v>547</v>
      </c>
      <c r="J40" s="169">
        <v>350</v>
      </c>
      <c r="K40" s="169">
        <v>523</v>
      </c>
      <c r="L40" s="151">
        <v>433</v>
      </c>
      <c r="M40" s="88">
        <v>433</v>
      </c>
      <c r="N40" s="88">
        <v>421</v>
      </c>
      <c r="O40" s="100">
        <f t="shared" si="30"/>
        <v>4501</v>
      </c>
      <c r="Q40" s="170" t="s">
        <v>194</v>
      </c>
      <c r="R40" s="170"/>
      <c r="S40" s="101">
        <f t="shared" si="31"/>
        <v>2590.9469381775566</v>
      </c>
      <c r="T40" s="101">
        <f t="shared" si="32"/>
        <v>2372.0784356197355</v>
      </c>
      <c r="U40" s="101">
        <f t="shared" si="33"/>
        <v>3889.0730870135544</v>
      </c>
      <c r="V40" s="101">
        <f t="shared" si="34"/>
        <v>6205.2408133561639</v>
      </c>
      <c r="W40" s="101">
        <f t="shared" si="35"/>
        <v>5175.5831178378376</v>
      </c>
      <c r="X40" s="102">
        <f t="shared" si="36"/>
        <v>8933.3585305861689</v>
      </c>
      <c r="Y40" s="102">
        <f t="shared" si="37"/>
        <v>4369.0116894693201</v>
      </c>
      <c r="Z40" s="102">
        <f t="shared" si="38"/>
        <v>5747.3241038602946</v>
      </c>
      <c r="AA40" s="102">
        <f t="shared" si="39"/>
        <v>7170.5005134635694</v>
      </c>
      <c r="AB40" s="101">
        <f t="shared" si="40"/>
        <v>5550.6555076382319</v>
      </c>
      <c r="AC40" s="101">
        <f t="shared" si="41"/>
        <v>4357.1483288606978</v>
      </c>
      <c r="AD40" s="101">
        <f t="shared" si="42"/>
        <v>3817.1184962901898</v>
      </c>
      <c r="AE40" s="134">
        <f t="shared" si="43"/>
        <v>60178.039562173319</v>
      </c>
      <c r="AH40" s="170"/>
      <c r="AI40" s="170"/>
      <c r="AJ40" s="143"/>
      <c r="AK40" s="70"/>
      <c r="AL40" s="170" t="s">
        <v>193</v>
      </c>
      <c r="AM40" s="88">
        <v>324</v>
      </c>
      <c r="AN40" s="172"/>
    </row>
    <row r="41" spans="1:40" x14ac:dyDescent="0.35">
      <c r="A41" s="166" t="s">
        <v>195</v>
      </c>
      <c r="B41" s="166"/>
      <c r="C41" s="151">
        <v>984</v>
      </c>
      <c r="D41" s="151">
        <v>678</v>
      </c>
      <c r="E41" s="151">
        <v>486</v>
      </c>
      <c r="F41" s="151">
        <v>564</v>
      </c>
      <c r="G41" s="151">
        <v>489</v>
      </c>
      <c r="H41" s="167">
        <v>489</v>
      </c>
      <c r="I41" s="167">
        <v>493</v>
      </c>
      <c r="J41" s="169">
        <v>620</v>
      </c>
      <c r="K41" s="169">
        <v>773</v>
      </c>
      <c r="L41" s="151">
        <v>1062</v>
      </c>
      <c r="M41" s="88">
        <v>1274</v>
      </c>
      <c r="N41" s="88">
        <v>1138</v>
      </c>
      <c r="O41" s="100">
        <f t="shared" si="30"/>
        <v>9050</v>
      </c>
      <c r="Q41" s="170" t="s">
        <v>196</v>
      </c>
      <c r="R41" s="170"/>
      <c r="S41" s="101">
        <f t="shared" si="31"/>
        <v>14997.010512745386</v>
      </c>
      <c r="T41" s="101">
        <f t="shared" si="32"/>
        <v>13075.359181708785</v>
      </c>
      <c r="U41" s="101">
        <f t="shared" si="33"/>
        <v>6517.5500699606473</v>
      </c>
      <c r="V41" s="101">
        <f t="shared" si="34"/>
        <v>11253.234143835616</v>
      </c>
      <c r="W41" s="101">
        <f t="shared" si="35"/>
        <v>7577.4255827027027</v>
      </c>
      <c r="X41" s="102">
        <f t="shared" si="36"/>
        <v>7718.0429707714429</v>
      </c>
      <c r="Y41" s="102">
        <f t="shared" si="37"/>
        <v>3937.701577529022</v>
      </c>
      <c r="Z41" s="102">
        <f t="shared" si="38"/>
        <v>10180.974126838235</v>
      </c>
      <c r="AA41" s="102">
        <f t="shared" si="39"/>
        <v>10598.082020855332</v>
      </c>
      <c r="AB41" s="101">
        <f t="shared" si="40"/>
        <v>13613.847919426797</v>
      </c>
      <c r="AC41" s="101">
        <f t="shared" si="41"/>
        <v>12819.877531105147</v>
      </c>
      <c r="AD41" s="101">
        <f t="shared" si="42"/>
        <v>10318.006766694147</v>
      </c>
      <c r="AE41" s="134">
        <f t="shared" si="43"/>
        <v>122607.11240417327</v>
      </c>
      <c r="AH41" s="170"/>
      <c r="AI41" s="170"/>
      <c r="AJ41" s="143"/>
      <c r="AK41" s="70"/>
      <c r="AL41" s="170" t="s">
        <v>89</v>
      </c>
      <c r="AM41" s="88">
        <v>49</v>
      </c>
      <c r="AN41" s="172"/>
    </row>
    <row r="42" spans="1:40" x14ac:dyDescent="0.35">
      <c r="A42" s="166" t="s">
        <v>197</v>
      </c>
      <c r="B42" s="166"/>
      <c r="C42" s="151">
        <v>5</v>
      </c>
      <c r="D42" s="151">
        <v>71</v>
      </c>
      <c r="E42" s="173">
        <v>250</v>
      </c>
      <c r="F42" s="151">
        <v>248</v>
      </c>
      <c r="G42" s="151">
        <v>189</v>
      </c>
      <c r="H42" s="167">
        <v>164</v>
      </c>
      <c r="I42" s="168">
        <v>160</v>
      </c>
      <c r="J42" s="174">
        <v>300</v>
      </c>
      <c r="K42" s="169">
        <v>329</v>
      </c>
      <c r="L42" s="151">
        <v>228</v>
      </c>
      <c r="M42" s="88">
        <v>289</v>
      </c>
      <c r="N42" s="88">
        <v>9</v>
      </c>
      <c r="O42" s="100">
        <f t="shared" si="30"/>
        <v>2242</v>
      </c>
      <c r="Q42" s="170" t="s">
        <v>197</v>
      </c>
      <c r="R42" s="170"/>
      <c r="S42" s="101">
        <f t="shared" si="31"/>
        <v>76.204321711104598</v>
      </c>
      <c r="T42" s="101">
        <f t="shared" si="32"/>
        <v>1369.2485278780587</v>
      </c>
      <c r="U42" s="101">
        <f t="shared" si="33"/>
        <v>3352.6492129427197</v>
      </c>
      <c r="V42" s="101">
        <f t="shared" si="34"/>
        <v>4948.2306164383563</v>
      </c>
      <c r="W42" s="101">
        <f t="shared" si="35"/>
        <v>2928.6982313513518</v>
      </c>
      <c r="X42" s="102">
        <f t="shared" si="36"/>
        <v>2588.4643092157803</v>
      </c>
      <c r="Y42" s="102">
        <f t="shared" si="37"/>
        <v>1277.9558872305142</v>
      </c>
      <c r="Z42" s="102">
        <f t="shared" si="38"/>
        <v>4926.2778033088234</v>
      </c>
      <c r="AA42" s="102">
        <f t="shared" si="39"/>
        <v>4510.6972637275603</v>
      </c>
      <c r="AB42" s="101">
        <f t="shared" si="40"/>
        <v>2922.7470109503856</v>
      </c>
      <c r="AC42" s="101">
        <f t="shared" si="41"/>
        <v>2908.1197853134913</v>
      </c>
      <c r="AD42" s="101">
        <v>90.67</v>
      </c>
      <c r="AE42" s="134">
        <f t="shared" si="43"/>
        <v>31899.962970068143</v>
      </c>
      <c r="AH42" s="170"/>
      <c r="AI42" s="170"/>
      <c r="AJ42" s="143"/>
      <c r="AK42" s="70"/>
      <c r="AL42" s="170" t="s">
        <v>194</v>
      </c>
      <c r="AM42" s="88">
        <v>433</v>
      </c>
      <c r="AN42" s="172"/>
    </row>
    <row r="43" spans="1:40" x14ac:dyDescent="0.35">
      <c r="A43" s="166" t="s">
        <v>88</v>
      </c>
      <c r="B43" s="166"/>
      <c r="C43" s="173">
        <v>2</v>
      </c>
      <c r="D43" s="173">
        <v>2</v>
      </c>
      <c r="E43" s="173">
        <v>200</v>
      </c>
      <c r="F43" s="183">
        <v>300</v>
      </c>
      <c r="G43" s="183">
        <v>200</v>
      </c>
      <c r="H43" s="184">
        <v>300</v>
      </c>
      <c r="I43" s="184">
        <v>85</v>
      </c>
      <c r="J43" s="183">
        <v>250</v>
      </c>
      <c r="K43" s="183">
        <v>385</v>
      </c>
      <c r="L43" s="183">
        <v>375</v>
      </c>
      <c r="M43" s="185">
        <v>250</v>
      </c>
      <c r="N43" s="185">
        <v>20</v>
      </c>
      <c r="O43" s="100">
        <f t="shared" si="30"/>
        <v>2369</v>
      </c>
      <c r="Q43" s="170" t="s">
        <v>88</v>
      </c>
      <c r="R43" s="170"/>
      <c r="S43" s="101">
        <f t="shared" si="31"/>
        <v>30.48172868444184</v>
      </c>
      <c r="T43" s="101">
        <f t="shared" si="32"/>
        <v>38.570381066987565</v>
      </c>
      <c r="U43" s="101">
        <f t="shared" si="33"/>
        <v>2682.1193703541758</v>
      </c>
      <c r="V43" s="101">
        <f t="shared" si="34"/>
        <v>5985.7628424657541</v>
      </c>
      <c r="W43" s="101">
        <f t="shared" si="35"/>
        <v>3099.1515675675678</v>
      </c>
      <c r="X43" s="102">
        <f t="shared" si="36"/>
        <v>4734.9956875898424</v>
      </c>
      <c r="Y43" s="102">
        <f t="shared" si="37"/>
        <v>678.91406509121066</v>
      </c>
      <c r="Z43" s="102">
        <f t="shared" si="38"/>
        <v>4105.2315027573522</v>
      </c>
      <c r="AA43" s="102">
        <f t="shared" si="39"/>
        <v>5278.475521383315</v>
      </c>
      <c r="AB43" s="101">
        <f t="shared" si="40"/>
        <v>4807.1496890631342</v>
      </c>
      <c r="AC43" s="101">
        <f t="shared" si="41"/>
        <v>2515.6745547694559</v>
      </c>
      <c r="AD43" s="101">
        <f t="shared" si="42"/>
        <v>181.33579554822754</v>
      </c>
      <c r="AE43" s="134">
        <f t="shared" si="43"/>
        <v>34137.862706341475</v>
      </c>
      <c r="AH43" s="170"/>
      <c r="AI43" s="170"/>
      <c r="AJ43" s="143"/>
      <c r="AK43" s="70"/>
      <c r="AL43" s="170" t="s">
        <v>196</v>
      </c>
      <c r="AM43" s="88">
        <v>1062</v>
      </c>
      <c r="AN43" s="172"/>
    </row>
    <row r="44" spans="1:40" x14ac:dyDescent="0.35">
      <c r="A44" s="166" t="s">
        <v>198</v>
      </c>
      <c r="B44" s="166"/>
      <c r="C44" s="186">
        <v>35</v>
      </c>
      <c r="D44" s="186">
        <v>35</v>
      </c>
      <c r="E44" s="186">
        <v>35</v>
      </c>
      <c r="F44" s="186">
        <v>35</v>
      </c>
      <c r="G44" s="186">
        <v>35</v>
      </c>
      <c r="H44" s="187">
        <v>35</v>
      </c>
      <c r="I44" s="187">
        <v>35</v>
      </c>
      <c r="J44" s="188">
        <v>35</v>
      </c>
      <c r="K44" s="188">
        <v>35</v>
      </c>
      <c r="L44" s="186">
        <v>35</v>
      </c>
      <c r="M44" s="189">
        <v>35</v>
      </c>
      <c r="N44" s="189">
        <v>20</v>
      </c>
      <c r="O44" s="190">
        <f t="shared" si="30"/>
        <v>405</v>
      </c>
      <c r="Q44" s="170" t="s">
        <v>198</v>
      </c>
      <c r="R44" s="170"/>
      <c r="S44" s="101">
        <f t="shared" si="31"/>
        <v>533.43025197773227</v>
      </c>
      <c r="T44" s="101">
        <f t="shared" si="32"/>
        <v>674.98166867228247</v>
      </c>
      <c r="U44" s="101">
        <f t="shared" si="33"/>
        <v>469.37088981198076</v>
      </c>
      <c r="V44" s="101">
        <f t="shared" si="34"/>
        <v>698.33899828767119</v>
      </c>
      <c r="W44" s="101">
        <f t="shared" si="35"/>
        <v>542.35152432432437</v>
      </c>
      <c r="X44" s="102">
        <f t="shared" si="36"/>
        <v>552.41616355214819</v>
      </c>
      <c r="Y44" s="102">
        <f t="shared" si="37"/>
        <v>279.55285033167496</v>
      </c>
      <c r="Z44" s="148">
        <f t="shared" si="38"/>
        <v>574.7324103860293</v>
      </c>
      <c r="AA44" s="148">
        <f t="shared" si="39"/>
        <v>479.86141103484687</v>
      </c>
      <c r="AB44" s="101">
        <f t="shared" si="40"/>
        <v>448.66730431255917</v>
      </c>
      <c r="AC44" s="101">
        <f t="shared" si="41"/>
        <v>352.19443766772378</v>
      </c>
      <c r="AD44" s="101">
        <f t="shared" si="42"/>
        <v>181.33579554822754</v>
      </c>
      <c r="AE44" s="191">
        <f t="shared" si="43"/>
        <v>5787.2337059072015</v>
      </c>
      <c r="AH44" s="170"/>
      <c r="AI44" s="170"/>
      <c r="AJ44" s="143"/>
      <c r="AK44" s="70"/>
      <c r="AL44" s="170" t="s">
        <v>197</v>
      </c>
      <c r="AM44" s="88">
        <v>228</v>
      </c>
      <c r="AN44" s="172"/>
    </row>
    <row r="45" spans="1:40" x14ac:dyDescent="0.35">
      <c r="A45" s="166"/>
      <c r="B45" s="166"/>
      <c r="C45" s="151">
        <f>SUM(C25:C44)</f>
        <v>1662</v>
      </c>
      <c r="D45" s="151">
        <f>SUM(D25:D44)</f>
        <v>1404</v>
      </c>
      <c r="E45" s="151">
        <f>SUM(E25:E44)</f>
        <v>3475</v>
      </c>
      <c r="F45" s="151">
        <f t="shared" ref="F45:L45" si="44">SUM(F25:F44)</f>
        <v>3595</v>
      </c>
      <c r="G45" s="151">
        <f t="shared" si="44"/>
        <v>3641</v>
      </c>
      <c r="H45" s="169">
        <f t="shared" si="44"/>
        <v>4913</v>
      </c>
      <c r="I45" s="169">
        <f t="shared" si="44"/>
        <v>4079</v>
      </c>
      <c r="J45" s="169">
        <f t="shared" si="44"/>
        <v>3574</v>
      </c>
      <c r="K45" s="169">
        <f t="shared" si="44"/>
        <v>6355</v>
      </c>
      <c r="L45" s="151">
        <f t="shared" si="44"/>
        <v>5291</v>
      </c>
      <c r="M45" s="88">
        <f>SUM(M25:M44)</f>
        <v>6196</v>
      </c>
      <c r="N45" s="88">
        <f>SUM(N25:N44)</f>
        <v>2284</v>
      </c>
      <c r="O45" s="100">
        <f>SUM(O25:O44)</f>
        <v>46469</v>
      </c>
      <c r="Q45" s="166"/>
      <c r="R45" s="192"/>
      <c r="S45" s="193">
        <f t="shared" ref="S45:AC45" si="45">SUM(S25:S44)</f>
        <v>25083.686152944625</v>
      </c>
      <c r="T45" s="193">
        <f>SUM(T25:T44)</f>
        <v>25797.683265142405</v>
      </c>
      <c r="U45" s="193">
        <f>SUM(U25:U44)</f>
        <v>46479.510050284211</v>
      </c>
      <c r="V45" s="193">
        <f>SUM(V25:V44)</f>
        <v>70666.185059931493</v>
      </c>
      <c r="W45" s="193">
        <f>SUM(W25:W44)</f>
        <v>56017.785768648653</v>
      </c>
      <c r="X45" s="194">
        <f t="shared" si="45"/>
        <v>77130.767811851139</v>
      </c>
      <c r="Y45" s="194">
        <f t="shared" si="45"/>
        <v>32921.104975124385</v>
      </c>
      <c r="Z45" s="195">
        <f t="shared" si="45"/>
        <v>58255.667702205887</v>
      </c>
      <c r="AA45" s="195">
        <f t="shared" si="45"/>
        <v>86923.353013463566</v>
      </c>
      <c r="AB45" s="193">
        <f>SUM(AB25:AB44)</f>
        <v>67701.599338921194</v>
      </c>
      <c r="AC45" s="158">
        <f t="shared" si="45"/>
        <v>62559.895018297153</v>
      </c>
      <c r="AD45" s="196">
        <f>SUM(AD25:AD44)</f>
        <v>20989.57430008244</v>
      </c>
      <c r="AE45" s="103">
        <f>SUM(S45:AD45)</f>
        <v>630526.81245689711</v>
      </c>
      <c r="AH45" s="149"/>
      <c r="AI45" s="192"/>
      <c r="AJ45" s="104"/>
      <c r="AK45" s="105"/>
      <c r="AL45" s="170" t="s">
        <v>88</v>
      </c>
      <c r="AM45" s="110">
        <v>25</v>
      </c>
      <c r="AN45" s="105"/>
    </row>
    <row r="46" spans="1:40" x14ac:dyDescent="0.35">
      <c r="A46" s="84" t="s">
        <v>199</v>
      </c>
      <c r="B46" s="84"/>
      <c r="C46" s="87"/>
      <c r="D46" s="173"/>
      <c r="E46" s="87"/>
      <c r="G46" s="87"/>
      <c r="H46" s="168"/>
      <c r="I46" s="85"/>
      <c r="J46" s="86"/>
      <c r="K46" s="86"/>
      <c r="L46" s="87"/>
      <c r="M46" s="88"/>
      <c r="O46" s="89"/>
      <c r="Q46" s="84" t="s">
        <v>199</v>
      </c>
      <c r="R46" s="84"/>
      <c r="S46" s="90"/>
      <c r="T46" s="90"/>
      <c r="U46" s="90"/>
      <c r="V46" s="90"/>
      <c r="W46" s="90"/>
      <c r="X46" s="91"/>
      <c r="Y46" s="85"/>
      <c r="Z46" s="161"/>
      <c r="AA46" s="91"/>
      <c r="AB46" s="90"/>
      <c r="AC46" s="93"/>
      <c r="AD46" s="93"/>
      <c r="AE46" s="89"/>
      <c r="AH46" s="84"/>
      <c r="AI46" s="84"/>
      <c r="AJ46" s="70"/>
      <c r="AK46" s="70"/>
      <c r="AL46" s="170" t="s">
        <v>198</v>
      </c>
      <c r="AM46" s="189">
        <v>35</v>
      </c>
    </row>
    <row r="47" spans="1:40" s="118" customFormat="1" x14ac:dyDescent="0.35">
      <c r="A47" s="162" t="s">
        <v>200</v>
      </c>
      <c r="B47" s="111" t="s">
        <v>159</v>
      </c>
      <c r="C47" s="197">
        <v>0</v>
      </c>
      <c r="D47" s="197">
        <v>0</v>
      </c>
      <c r="E47" s="197">
        <v>0</v>
      </c>
      <c r="F47" s="197">
        <v>0</v>
      </c>
      <c r="G47" s="197">
        <v>0</v>
      </c>
      <c r="H47" s="113">
        <v>0</v>
      </c>
      <c r="I47" s="198">
        <v>0</v>
      </c>
      <c r="J47" s="198">
        <v>0</v>
      </c>
      <c r="K47" s="198">
        <v>0</v>
      </c>
      <c r="L47" s="115">
        <v>0</v>
      </c>
      <c r="M47" s="116">
        <v>0</v>
      </c>
      <c r="N47" s="116">
        <v>0</v>
      </c>
      <c r="O47" s="117">
        <f>SUM(C47:N47)</f>
        <v>0</v>
      </c>
      <c r="Q47" s="162" t="s">
        <v>200</v>
      </c>
      <c r="R47" s="162" t="s">
        <v>159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200">
        <v>0</v>
      </c>
      <c r="Y47" s="200">
        <v>0</v>
      </c>
      <c r="Z47" s="200">
        <v>0</v>
      </c>
      <c r="AA47" s="200">
        <v>0</v>
      </c>
      <c r="AB47" s="199">
        <v>0</v>
      </c>
      <c r="AC47" s="121">
        <v>0</v>
      </c>
      <c r="AD47" s="121">
        <v>0</v>
      </c>
      <c r="AE47" s="122">
        <f>SUM(S47:AD47)</f>
        <v>0</v>
      </c>
      <c r="AH47" s="162"/>
      <c r="AI47" s="162"/>
      <c r="AJ47" s="123"/>
      <c r="AK47" s="124"/>
      <c r="AL47" s="124"/>
      <c r="AM47" s="201">
        <f>SUM(AM30,AM31,AM32,AM33,AM34,AM35,AM36,AM37,AM38,AM40,AM41,AM42,AM43,AM44,AM45,AM46)</f>
        <v>4789</v>
      </c>
      <c r="AN47" s="125"/>
    </row>
    <row r="48" spans="1:40" s="118" customFormat="1" x14ac:dyDescent="0.35">
      <c r="A48" s="162" t="s">
        <v>201</v>
      </c>
      <c r="B48" s="111" t="s">
        <v>159</v>
      </c>
      <c r="C48" s="197">
        <v>0</v>
      </c>
      <c r="D48" s="197">
        <v>0</v>
      </c>
      <c r="E48" s="197">
        <v>0</v>
      </c>
      <c r="F48" s="197">
        <v>0</v>
      </c>
      <c r="G48" s="197">
        <v>0</v>
      </c>
      <c r="H48" s="113">
        <v>0</v>
      </c>
      <c r="I48" s="198">
        <v>0</v>
      </c>
      <c r="J48" s="198">
        <v>0</v>
      </c>
      <c r="K48" s="198">
        <v>0</v>
      </c>
      <c r="L48" s="115">
        <v>0</v>
      </c>
      <c r="M48" s="116">
        <v>0</v>
      </c>
      <c r="N48" s="116">
        <v>0</v>
      </c>
      <c r="O48" s="117">
        <f>SUM(C48:N48)</f>
        <v>0</v>
      </c>
      <c r="Q48" s="162" t="s">
        <v>201</v>
      </c>
      <c r="R48" s="162" t="s">
        <v>159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200">
        <v>0</v>
      </c>
      <c r="Y48" s="200">
        <v>0</v>
      </c>
      <c r="Z48" s="200">
        <v>0</v>
      </c>
      <c r="AA48" s="200">
        <v>0</v>
      </c>
      <c r="AB48" s="199">
        <v>0</v>
      </c>
      <c r="AC48" s="121">
        <v>0</v>
      </c>
      <c r="AD48" s="121">
        <v>0</v>
      </c>
      <c r="AE48" s="122">
        <f>SUM(S48:AD48)</f>
        <v>0</v>
      </c>
      <c r="AH48" s="162"/>
      <c r="AI48" s="162"/>
      <c r="AJ48" s="123"/>
      <c r="AK48" s="124"/>
      <c r="AL48" s="124"/>
      <c r="AM48" s="123"/>
      <c r="AN48" s="125"/>
    </row>
    <row r="49" spans="1:40" s="118" customFormat="1" x14ac:dyDescent="0.35">
      <c r="A49" s="162" t="s">
        <v>202</v>
      </c>
      <c r="B49" s="111" t="s">
        <v>159</v>
      </c>
      <c r="C49" s="197">
        <v>0</v>
      </c>
      <c r="D49" s="197">
        <v>0</v>
      </c>
      <c r="E49" s="197">
        <v>0</v>
      </c>
      <c r="F49" s="197">
        <v>0</v>
      </c>
      <c r="G49" s="197">
        <v>0</v>
      </c>
      <c r="H49" s="113">
        <v>0</v>
      </c>
      <c r="I49" s="198">
        <v>0</v>
      </c>
      <c r="J49" s="198">
        <v>0</v>
      </c>
      <c r="K49" s="198">
        <v>0</v>
      </c>
      <c r="L49" s="115">
        <v>0</v>
      </c>
      <c r="M49" s="116">
        <v>0</v>
      </c>
      <c r="N49" s="116">
        <v>0</v>
      </c>
      <c r="O49" s="117">
        <f>SUM(C49:N49)</f>
        <v>0</v>
      </c>
      <c r="Q49" s="162" t="s">
        <v>202</v>
      </c>
      <c r="R49" s="162" t="s">
        <v>159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200">
        <v>0</v>
      </c>
      <c r="Y49" s="200">
        <v>0</v>
      </c>
      <c r="Z49" s="200">
        <v>0</v>
      </c>
      <c r="AA49" s="200">
        <v>0</v>
      </c>
      <c r="AB49" s="199">
        <v>0</v>
      </c>
      <c r="AC49" s="121">
        <v>0</v>
      </c>
      <c r="AD49" s="121">
        <v>0</v>
      </c>
      <c r="AE49" s="122">
        <f>SUM(S49:AD49)</f>
        <v>0</v>
      </c>
      <c r="AH49" s="162"/>
      <c r="AI49" s="162"/>
      <c r="AJ49" s="123"/>
      <c r="AK49" s="124"/>
      <c r="AL49" s="124"/>
      <c r="AM49" s="125">
        <f>SUM(AM47,AM25)</f>
        <v>7065</v>
      </c>
      <c r="AN49" s="125"/>
    </row>
    <row r="50" spans="1:40" s="118" customFormat="1" x14ac:dyDescent="0.35">
      <c r="A50" s="162" t="s">
        <v>203</v>
      </c>
      <c r="B50" s="111" t="s">
        <v>159</v>
      </c>
      <c r="C50" s="197">
        <v>1</v>
      </c>
      <c r="D50" s="197">
        <v>0</v>
      </c>
      <c r="E50" s="197">
        <v>0</v>
      </c>
      <c r="F50" s="197">
        <v>0</v>
      </c>
      <c r="G50" s="197">
        <v>0</v>
      </c>
      <c r="H50" s="113">
        <v>0</v>
      </c>
      <c r="I50" s="198">
        <v>0</v>
      </c>
      <c r="J50" s="198">
        <v>0</v>
      </c>
      <c r="K50" s="198">
        <v>1</v>
      </c>
      <c r="L50" s="115">
        <v>0</v>
      </c>
      <c r="M50" s="116">
        <v>0</v>
      </c>
      <c r="N50" s="116">
        <v>0</v>
      </c>
      <c r="O50" s="117">
        <f>SUM(C50:N50)</f>
        <v>2</v>
      </c>
      <c r="Q50" s="162" t="s">
        <v>203</v>
      </c>
      <c r="R50" s="162" t="s">
        <v>159</v>
      </c>
      <c r="S50" s="199">
        <v>10.69</v>
      </c>
      <c r="T50" s="199">
        <v>60.76</v>
      </c>
      <c r="U50" s="199">
        <v>0</v>
      </c>
      <c r="V50" s="199">
        <v>0</v>
      </c>
      <c r="W50" s="199">
        <v>0</v>
      </c>
      <c r="X50" s="200">
        <v>0</v>
      </c>
      <c r="Y50" s="200">
        <v>0</v>
      </c>
      <c r="Z50" s="200">
        <v>61.5</v>
      </c>
      <c r="AA50" s="200">
        <v>65.69</v>
      </c>
      <c r="AB50" s="199">
        <v>5.76</v>
      </c>
      <c r="AC50" s="121">
        <v>5.76</v>
      </c>
      <c r="AD50" s="121">
        <v>5.76</v>
      </c>
      <c r="AE50" s="122">
        <f>SUM(S50:AD50)</f>
        <v>215.91999999999996</v>
      </c>
      <c r="AH50" s="162"/>
      <c r="AI50" s="162"/>
      <c r="AJ50" s="123"/>
      <c r="AK50" s="124"/>
      <c r="AL50" s="124"/>
      <c r="AM50" s="123"/>
      <c r="AN50" s="125"/>
    </row>
    <row r="51" spans="1:40" s="118" customFormat="1" x14ac:dyDescent="0.35">
      <c r="A51" s="162" t="s">
        <v>204</v>
      </c>
      <c r="B51" s="111" t="s">
        <v>159</v>
      </c>
      <c r="C51" s="197">
        <v>55</v>
      </c>
      <c r="D51" s="197">
        <v>16</v>
      </c>
      <c r="E51" s="197">
        <v>6</v>
      </c>
      <c r="F51" s="197">
        <v>5</v>
      </c>
      <c r="G51" s="197">
        <v>3</v>
      </c>
      <c r="H51" s="113">
        <v>5</v>
      </c>
      <c r="I51" s="198">
        <v>4</v>
      </c>
      <c r="J51" s="198">
        <v>5</v>
      </c>
      <c r="K51" s="198">
        <v>4</v>
      </c>
      <c r="L51" s="115">
        <v>15</v>
      </c>
      <c r="M51" s="116">
        <v>20</v>
      </c>
      <c r="N51" s="116">
        <v>42</v>
      </c>
      <c r="O51" s="117">
        <f>SUM(C51:N51)</f>
        <v>180</v>
      </c>
      <c r="Q51" s="162" t="s">
        <v>204</v>
      </c>
      <c r="R51" s="162" t="s">
        <v>159</v>
      </c>
      <c r="S51" s="199">
        <v>405.91</v>
      </c>
      <c r="T51" s="199">
        <v>136.63999999999999</v>
      </c>
      <c r="U51" s="199">
        <v>80.34</v>
      </c>
      <c r="V51" s="199">
        <v>75.41</v>
      </c>
      <c r="W51" s="199">
        <v>51.55</v>
      </c>
      <c r="X51" s="200">
        <v>75.41</v>
      </c>
      <c r="Y51" s="200">
        <v>63.48</v>
      </c>
      <c r="Z51" s="200">
        <v>68.41</v>
      </c>
      <c r="AA51" s="200">
        <v>63.48</v>
      </c>
      <c r="AB51" s="199">
        <v>138.71</v>
      </c>
      <c r="AC51" s="123">
        <v>192.52</v>
      </c>
      <c r="AD51" s="123">
        <v>300.24</v>
      </c>
      <c r="AE51" s="122">
        <f>SUM(S51:AD51)</f>
        <v>1652.1</v>
      </c>
      <c r="AH51" s="162"/>
      <c r="AI51" s="162"/>
      <c r="AJ51" s="123"/>
      <c r="AK51" s="124"/>
      <c r="AL51" s="124"/>
      <c r="AM51" s="123"/>
      <c r="AN51" s="125"/>
    </row>
    <row r="52" spans="1:40" x14ac:dyDescent="0.35">
      <c r="A52" s="84" t="s">
        <v>205</v>
      </c>
      <c r="B52" s="84"/>
      <c r="C52" s="87"/>
      <c r="D52" s="87"/>
      <c r="E52" s="87"/>
      <c r="F52" s="87"/>
      <c r="G52" s="87"/>
      <c r="H52" s="85"/>
      <c r="I52" s="86"/>
      <c r="J52" s="86"/>
      <c r="K52" s="86"/>
      <c r="L52" s="87"/>
      <c r="M52" s="88"/>
      <c r="O52" s="89"/>
      <c r="Q52" s="84" t="s">
        <v>205</v>
      </c>
      <c r="R52" s="84"/>
      <c r="S52" s="90"/>
      <c r="T52" s="90"/>
      <c r="U52" s="90"/>
      <c r="V52" s="90"/>
      <c r="W52" s="90"/>
      <c r="X52" s="91"/>
      <c r="Y52" s="91"/>
      <c r="Z52" s="202"/>
      <c r="AA52" s="91"/>
      <c r="AB52" s="90"/>
      <c r="AC52" s="93"/>
      <c r="AD52" s="93"/>
      <c r="AE52" s="89"/>
      <c r="AH52" s="84"/>
      <c r="AI52" s="84"/>
      <c r="AJ52" s="104"/>
      <c r="AK52" s="70"/>
      <c r="AL52" s="71"/>
      <c r="AM52" s="104"/>
      <c r="AN52" s="105"/>
    </row>
    <row r="53" spans="1:40" s="118" customFormat="1" x14ac:dyDescent="0.35">
      <c r="A53" s="111" t="s">
        <v>206</v>
      </c>
      <c r="B53" s="111" t="s">
        <v>159</v>
      </c>
      <c r="C53" s="203" t="s">
        <v>164</v>
      </c>
      <c r="D53" s="203" t="s">
        <v>164</v>
      </c>
      <c r="E53" s="203" t="s">
        <v>164</v>
      </c>
      <c r="F53" s="203" t="s">
        <v>164</v>
      </c>
      <c r="G53" s="203" t="s">
        <v>164</v>
      </c>
      <c r="H53" s="204" t="s">
        <v>164</v>
      </c>
      <c r="I53" s="204" t="s">
        <v>164</v>
      </c>
      <c r="J53" s="204" t="s">
        <v>164</v>
      </c>
      <c r="K53" s="204" t="s">
        <v>164</v>
      </c>
      <c r="L53" s="203" t="s">
        <v>164</v>
      </c>
      <c r="M53" s="203" t="s">
        <v>164</v>
      </c>
      <c r="N53" s="203" t="s">
        <v>164</v>
      </c>
      <c r="O53" s="205" t="s">
        <v>164</v>
      </c>
      <c r="Q53" s="111" t="s">
        <v>207</v>
      </c>
      <c r="R53" s="162" t="s">
        <v>159</v>
      </c>
      <c r="S53" s="206" t="s">
        <v>164</v>
      </c>
      <c r="T53" s="206" t="s">
        <v>164</v>
      </c>
      <c r="U53" s="206" t="s">
        <v>164</v>
      </c>
      <c r="V53" s="206" t="s">
        <v>164</v>
      </c>
      <c r="W53" s="206" t="s">
        <v>164</v>
      </c>
      <c r="X53" s="207" t="s">
        <v>164</v>
      </c>
      <c r="Y53" s="207" t="s">
        <v>164</v>
      </c>
      <c r="Z53" s="208" t="s">
        <v>164</v>
      </c>
      <c r="AA53" s="208" t="s">
        <v>164</v>
      </c>
      <c r="AB53" s="209" t="s">
        <v>164</v>
      </c>
      <c r="AC53" s="209" t="s">
        <v>164</v>
      </c>
      <c r="AD53" s="209" t="s">
        <v>164</v>
      </c>
      <c r="AE53" s="210" t="s">
        <v>164</v>
      </c>
      <c r="AH53" s="111"/>
      <c r="AI53" s="162"/>
      <c r="AJ53" s="206"/>
      <c r="AK53" s="211"/>
      <c r="AL53" s="124"/>
      <c r="AM53" s="206"/>
      <c r="AN53" s="212"/>
    </row>
    <row r="54" spans="1:40" s="118" customFormat="1" x14ac:dyDescent="0.35">
      <c r="A54" s="111" t="s">
        <v>208</v>
      </c>
      <c r="B54" s="111" t="s">
        <v>159</v>
      </c>
      <c r="C54" s="203" t="s">
        <v>164</v>
      </c>
      <c r="D54" s="203" t="s">
        <v>164</v>
      </c>
      <c r="E54" s="203" t="s">
        <v>164</v>
      </c>
      <c r="F54" s="203" t="s">
        <v>164</v>
      </c>
      <c r="G54" s="203" t="s">
        <v>164</v>
      </c>
      <c r="H54" s="204" t="s">
        <v>164</v>
      </c>
      <c r="I54" s="204" t="s">
        <v>164</v>
      </c>
      <c r="J54" s="204" t="s">
        <v>164</v>
      </c>
      <c r="K54" s="204" t="s">
        <v>164</v>
      </c>
      <c r="L54" s="203" t="s">
        <v>164</v>
      </c>
      <c r="M54" s="203" t="s">
        <v>164</v>
      </c>
      <c r="N54" s="203" t="s">
        <v>164</v>
      </c>
      <c r="O54" s="205" t="s">
        <v>164</v>
      </c>
      <c r="Q54" s="111" t="s">
        <v>207</v>
      </c>
      <c r="R54" s="162" t="s">
        <v>159</v>
      </c>
      <c r="S54" s="206" t="s">
        <v>164</v>
      </c>
      <c r="T54" s="206" t="s">
        <v>164</v>
      </c>
      <c r="U54" s="206" t="s">
        <v>164</v>
      </c>
      <c r="V54" s="206" t="s">
        <v>164</v>
      </c>
      <c r="W54" s="206" t="s">
        <v>164</v>
      </c>
      <c r="X54" s="207" t="s">
        <v>164</v>
      </c>
      <c r="Y54" s="207" t="s">
        <v>164</v>
      </c>
      <c r="Z54" s="208" t="s">
        <v>164</v>
      </c>
      <c r="AA54" s="208" t="s">
        <v>164</v>
      </c>
      <c r="AB54" s="209" t="s">
        <v>164</v>
      </c>
      <c r="AC54" s="209" t="s">
        <v>164</v>
      </c>
      <c r="AD54" s="209" t="s">
        <v>164</v>
      </c>
      <c r="AE54" s="210" t="s">
        <v>164</v>
      </c>
      <c r="AH54" s="111"/>
      <c r="AI54" s="162"/>
      <c r="AJ54" s="206"/>
      <c r="AK54" s="211"/>
      <c r="AL54" s="124"/>
      <c r="AM54" s="206"/>
      <c r="AN54" s="212"/>
    </row>
    <row r="55" spans="1:40" s="118" customFormat="1" x14ac:dyDescent="0.35">
      <c r="A55" s="162" t="s">
        <v>209</v>
      </c>
      <c r="B55" s="111" t="s">
        <v>159</v>
      </c>
      <c r="C55" s="203" t="s">
        <v>164</v>
      </c>
      <c r="D55" s="203" t="s">
        <v>164</v>
      </c>
      <c r="E55" s="203" t="s">
        <v>164</v>
      </c>
      <c r="F55" s="203" t="s">
        <v>164</v>
      </c>
      <c r="G55" s="203" t="s">
        <v>164</v>
      </c>
      <c r="H55" s="204" t="s">
        <v>164</v>
      </c>
      <c r="I55" s="204" t="s">
        <v>164</v>
      </c>
      <c r="J55" s="204" t="s">
        <v>164</v>
      </c>
      <c r="K55" s="204" t="s">
        <v>164</v>
      </c>
      <c r="L55" s="203" t="s">
        <v>164</v>
      </c>
      <c r="M55" s="203" t="s">
        <v>164</v>
      </c>
      <c r="N55" s="203" t="s">
        <v>164</v>
      </c>
      <c r="O55" s="205" t="s">
        <v>164</v>
      </c>
      <c r="Q55" s="162" t="s">
        <v>209</v>
      </c>
      <c r="R55" s="162" t="s">
        <v>159</v>
      </c>
      <c r="S55" s="206" t="s">
        <v>164</v>
      </c>
      <c r="T55" s="206" t="s">
        <v>164</v>
      </c>
      <c r="U55" s="206" t="s">
        <v>164</v>
      </c>
      <c r="V55" s="206" t="s">
        <v>164</v>
      </c>
      <c r="W55" s="206" t="s">
        <v>164</v>
      </c>
      <c r="X55" s="207" t="s">
        <v>164</v>
      </c>
      <c r="Y55" s="207" t="s">
        <v>164</v>
      </c>
      <c r="Z55" s="208" t="s">
        <v>164</v>
      </c>
      <c r="AA55" s="208" t="s">
        <v>164</v>
      </c>
      <c r="AB55" s="209" t="s">
        <v>164</v>
      </c>
      <c r="AC55" s="209" t="s">
        <v>164</v>
      </c>
      <c r="AD55" s="209" t="s">
        <v>164</v>
      </c>
      <c r="AE55" s="210" t="s">
        <v>164</v>
      </c>
      <c r="AH55" s="162"/>
      <c r="AI55" s="162"/>
      <c r="AJ55" s="206"/>
      <c r="AK55" s="211"/>
      <c r="AL55" s="124"/>
      <c r="AM55" s="206"/>
      <c r="AN55" s="212"/>
    </row>
    <row r="56" spans="1:40" s="118" customFormat="1" x14ac:dyDescent="0.35">
      <c r="A56" s="111" t="s">
        <v>210</v>
      </c>
      <c r="B56" s="111" t="s">
        <v>159</v>
      </c>
      <c r="C56" s="203" t="s">
        <v>164</v>
      </c>
      <c r="D56" s="203" t="s">
        <v>164</v>
      </c>
      <c r="E56" s="203" t="s">
        <v>164</v>
      </c>
      <c r="F56" s="203" t="s">
        <v>164</v>
      </c>
      <c r="G56" s="203" t="s">
        <v>164</v>
      </c>
      <c r="H56" s="204" t="s">
        <v>164</v>
      </c>
      <c r="I56" s="204" t="s">
        <v>164</v>
      </c>
      <c r="J56" s="204" t="s">
        <v>164</v>
      </c>
      <c r="K56" s="204" t="s">
        <v>164</v>
      </c>
      <c r="L56" s="203" t="s">
        <v>164</v>
      </c>
      <c r="M56" s="203" t="s">
        <v>164</v>
      </c>
      <c r="N56" s="203" t="s">
        <v>164</v>
      </c>
      <c r="O56" s="205" t="s">
        <v>164</v>
      </c>
      <c r="Q56" s="111" t="s">
        <v>210</v>
      </c>
      <c r="R56" s="162" t="s">
        <v>159</v>
      </c>
      <c r="S56" s="206" t="s">
        <v>164</v>
      </c>
      <c r="T56" s="206" t="s">
        <v>164</v>
      </c>
      <c r="U56" s="206" t="s">
        <v>164</v>
      </c>
      <c r="V56" s="206" t="s">
        <v>164</v>
      </c>
      <c r="W56" s="206" t="s">
        <v>164</v>
      </c>
      <c r="X56" s="207" t="s">
        <v>164</v>
      </c>
      <c r="Y56" s="207" t="s">
        <v>164</v>
      </c>
      <c r="Z56" s="208" t="s">
        <v>164</v>
      </c>
      <c r="AA56" s="208" t="s">
        <v>164</v>
      </c>
      <c r="AB56" s="209" t="s">
        <v>164</v>
      </c>
      <c r="AC56" s="209" t="s">
        <v>164</v>
      </c>
      <c r="AD56" s="209" t="s">
        <v>164</v>
      </c>
      <c r="AE56" s="210" t="s">
        <v>164</v>
      </c>
      <c r="AH56" s="111"/>
      <c r="AI56" s="162"/>
      <c r="AJ56" s="206"/>
      <c r="AK56" s="211"/>
      <c r="AL56" s="124"/>
      <c r="AM56" s="206"/>
      <c r="AN56" s="212"/>
    </row>
    <row r="57" spans="1:40" s="118" customFormat="1" x14ac:dyDescent="0.35">
      <c r="A57" s="111" t="s">
        <v>211</v>
      </c>
      <c r="B57" s="111" t="s">
        <v>159</v>
      </c>
      <c r="C57" s="213">
        <v>3</v>
      </c>
      <c r="D57" s="213">
        <v>6</v>
      </c>
      <c r="E57" s="213">
        <v>4</v>
      </c>
      <c r="F57" s="213">
        <v>1</v>
      </c>
      <c r="G57" s="213">
        <v>2</v>
      </c>
      <c r="H57" s="214">
        <v>1</v>
      </c>
      <c r="I57" s="214">
        <v>1</v>
      </c>
      <c r="J57" s="214">
        <v>1</v>
      </c>
      <c r="K57" s="214">
        <v>1</v>
      </c>
      <c r="L57" s="213">
        <v>1</v>
      </c>
      <c r="M57" s="213">
        <v>2</v>
      </c>
      <c r="N57" s="213">
        <v>1</v>
      </c>
      <c r="O57" s="215">
        <f>SUM(C57:N57)</f>
        <v>24</v>
      </c>
      <c r="Q57" s="111" t="s">
        <v>212</v>
      </c>
      <c r="R57" s="162" t="s">
        <v>159</v>
      </c>
      <c r="S57" s="216">
        <v>46.55</v>
      </c>
      <c r="T57" s="216">
        <v>82.34</v>
      </c>
      <c r="U57" s="216">
        <v>58.48</v>
      </c>
      <c r="V57" s="216">
        <v>45.69</v>
      </c>
      <c r="W57" s="216">
        <v>34.619999999999997</v>
      </c>
      <c r="X57" s="217">
        <v>22.69</v>
      </c>
      <c r="Y57" s="217">
        <v>22.69</v>
      </c>
      <c r="Z57" s="218">
        <v>22.69</v>
      </c>
      <c r="AA57" s="218">
        <v>22.69</v>
      </c>
      <c r="AB57" s="219">
        <v>21.88</v>
      </c>
      <c r="AC57" s="219">
        <v>33</v>
      </c>
      <c r="AD57" s="219">
        <v>43.37</v>
      </c>
      <c r="AE57" s="220">
        <f>SUM(S57:AD57)</f>
        <v>456.68999999999994</v>
      </c>
      <c r="AH57" s="111"/>
      <c r="AI57" s="162"/>
      <c r="AJ57" s="206"/>
      <c r="AK57" s="211"/>
      <c r="AL57" s="124"/>
      <c r="AM57" s="206"/>
      <c r="AN57" s="212"/>
    </row>
    <row r="58" spans="1:40" x14ac:dyDescent="0.35">
      <c r="A58" s="84" t="s">
        <v>213</v>
      </c>
      <c r="B58" s="84"/>
      <c r="C58" s="87"/>
      <c r="D58" s="87"/>
      <c r="E58" s="87"/>
      <c r="F58" s="87"/>
      <c r="G58" s="87"/>
      <c r="H58" s="85"/>
      <c r="I58" s="86"/>
      <c r="J58" s="86"/>
      <c r="K58" s="86"/>
      <c r="L58" s="87"/>
      <c r="M58" s="88"/>
      <c r="O58" s="89"/>
      <c r="Q58" s="84" t="s">
        <v>213</v>
      </c>
      <c r="R58" s="84"/>
      <c r="S58" s="90"/>
      <c r="T58" s="90"/>
      <c r="U58" s="90"/>
      <c r="V58" s="90"/>
      <c r="W58" s="90"/>
      <c r="X58" s="91"/>
      <c r="Y58" s="91"/>
      <c r="Z58" s="202"/>
      <c r="AA58" s="91"/>
      <c r="AB58" s="90"/>
      <c r="AC58" s="93"/>
      <c r="AD58" s="93"/>
      <c r="AE58" s="89"/>
      <c r="AH58" s="84"/>
      <c r="AI58" s="84"/>
      <c r="AJ58" s="104"/>
      <c r="AK58" s="70"/>
      <c r="AL58" s="71"/>
      <c r="AM58" s="104"/>
      <c r="AN58" s="105"/>
    </row>
    <row r="59" spans="1:40" s="118" customFormat="1" x14ac:dyDescent="0.35">
      <c r="A59" s="162" t="s">
        <v>214</v>
      </c>
      <c r="B59" s="111" t="s">
        <v>159</v>
      </c>
      <c r="C59" s="197">
        <v>10</v>
      </c>
      <c r="D59" s="197">
        <v>7</v>
      </c>
      <c r="E59" s="197">
        <v>11</v>
      </c>
      <c r="F59" s="197">
        <v>7</v>
      </c>
      <c r="G59" s="197">
        <v>12</v>
      </c>
      <c r="H59" s="113">
        <v>6</v>
      </c>
      <c r="I59" s="114">
        <v>4</v>
      </c>
      <c r="J59" s="114">
        <v>7</v>
      </c>
      <c r="K59" s="114">
        <v>9</v>
      </c>
      <c r="L59" s="115">
        <v>6</v>
      </c>
      <c r="M59" s="116">
        <v>27</v>
      </c>
      <c r="N59" s="116">
        <v>24</v>
      </c>
      <c r="O59" s="117">
        <f t="shared" ref="O59:O64" si="46">SUM(C59:N59)</f>
        <v>130</v>
      </c>
      <c r="Q59" s="162" t="s">
        <v>214</v>
      </c>
      <c r="R59" s="162" t="s">
        <v>159</v>
      </c>
      <c r="S59" s="199">
        <v>190.46</v>
      </c>
      <c r="T59" s="199">
        <v>160.04</v>
      </c>
      <c r="U59" s="199">
        <v>202.39</v>
      </c>
      <c r="V59" s="199">
        <v>160.04</v>
      </c>
      <c r="W59" s="199">
        <v>214.32</v>
      </c>
      <c r="X59" s="200">
        <v>142.74</v>
      </c>
      <c r="Y59" s="200">
        <v>124.25</v>
      </c>
      <c r="Z59" s="200">
        <v>154.66999999999999</v>
      </c>
      <c r="AA59" s="200">
        <v>178.53</v>
      </c>
      <c r="AB59" s="199">
        <v>142.74</v>
      </c>
      <c r="AC59" s="121">
        <v>369.6</v>
      </c>
      <c r="AD59" s="121">
        <v>336.24</v>
      </c>
      <c r="AE59" s="122">
        <f t="shared" ref="AE59:AE65" si="47">SUM(S59:AD59)</f>
        <v>2376.0200000000004</v>
      </c>
      <c r="AH59" s="162"/>
      <c r="AI59" s="162"/>
      <c r="AJ59" s="123"/>
      <c r="AK59" s="124"/>
      <c r="AL59" s="124"/>
      <c r="AM59" s="123"/>
      <c r="AN59" s="125"/>
    </row>
    <row r="60" spans="1:40" s="118" customFormat="1" x14ac:dyDescent="0.35">
      <c r="A60" s="162" t="s">
        <v>215</v>
      </c>
      <c r="B60" s="111" t="s">
        <v>159</v>
      </c>
      <c r="C60" s="197">
        <v>0</v>
      </c>
      <c r="D60" s="197">
        <v>0</v>
      </c>
      <c r="E60" s="197">
        <v>0</v>
      </c>
      <c r="F60" s="197">
        <v>0</v>
      </c>
      <c r="G60" s="197">
        <v>0</v>
      </c>
      <c r="H60" s="113">
        <v>0</v>
      </c>
      <c r="I60" s="114">
        <v>0</v>
      </c>
      <c r="J60" s="114">
        <v>0</v>
      </c>
      <c r="K60" s="114">
        <v>0</v>
      </c>
      <c r="L60" s="115">
        <v>0</v>
      </c>
      <c r="M60" s="116">
        <v>0</v>
      </c>
      <c r="N60" s="116">
        <v>0</v>
      </c>
      <c r="O60" s="117">
        <f t="shared" si="46"/>
        <v>0</v>
      </c>
      <c r="Q60" s="162" t="s">
        <v>215</v>
      </c>
      <c r="R60" s="162" t="s">
        <v>159</v>
      </c>
      <c r="S60" s="199">
        <v>0</v>
      </c>
      <c r="T60" s="199">
        <v>0</v>
      </c>
      <c r="U60" s="199">
        <v>0</v>
      </c>
      <c r="V60" s="199">
        <v>0</v>
      </c>
      <c r="W60" s="199">
        <v>0</v>
      </c>
      <c r="X60" s="200">
        <v>0</v>
      </c>
      <c r="Y60" s="200">
        <v>0</v>
      </c>
      <c r="Z60" s="200">
        <v>0</v>
      </c>
      <c r="AA60" s="200">
        <v>0</v>
      </c>
      <c r="AB60" s="199">
        <v>0</v>
      </c>
      <c r="AC60" s="121">
        <v>0</v>
      </c>
      <c r="AD60" s="121">
        <v>0</v>
      </c>
      <c r="AE60" s="122">
        <f>SUM(S60:AD60)</f>
        <v>0</v>
      </c>
      <c r="AH60" s="162"/>
      <c r="AI60" s="162"/>
      <c r="AJ60" s="123"/>
      <c r="AK60" s="124"/>
      <c r="AL60" s="124"/>
      <c r="AM60" s="123"/>
      <c r="AN60" s="125"/>
    </row>
    <row r="61" spans="1:40" s="118" customFormat="1" x14ac:dyDescent="0.35">
      <c r="A61" s="162" t="s">
        <v>216</v>
      </c>
      <c r="B61" s="111" t="s">
        <v>159</v>
      </c>
      <c r="C61" s="197">
        <v>0</v>
      </c>
      <c r="D61" s="197">
        <v>0</v>
      </c>
      <c r="E61" s="197">
        <v>0</v>
      </c>
      <c r="F61" s="197">
        <v>0</v>
      </c>
      <c r="G61" s="197">
        <v>0</v>
      </c>
      <c r="H61" s="113">
        <v>0</v>
      </c>
      <c r="I61" s="114">
        <v>0</v>
      </c>
      <c r="J61" s="114">
        <v>0</v>
      </c>
      <c r="K61" s="114">
        <v>0</v>
      </c>
      <c r="L61" s="115">
        <v>0</v>
      </c>
      <c r="M61" s="116">
        <v>0</v>
      </c>
      <c r="N61" s="116">
        <v>0</v>
      </c>
      <c r="O61" s="117">
        <f t="shared" si="46"/>
        <v>0</v>
      </c>
      <c r="Q61" s="162" t="s">
        <v>216</v>
      </c>
      <c r="R61" s="162" t="s">
        <v>159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200">
        <v>0</v>
      </c>
      <c r="Y61" s="200">
        <v>0</v>
      </c>
      <c r="Z61" s="200">
        <v>0</v>
      </c>
      <c r="AA61" s="200">
        <v>0</v>
      </c>
      <c r="AB61" s="199">
        <v>0</v>
      </c>
      <c r="AC61" s="121">
        <v>0</v>
      </c>
      <c r="AD61" s="121">
        <v>0</v>
      </c>
      <c r="AE61" s="122">
        <f t="shared" si="47"/>
        <v>0</v>
      </c>
      <c r="AH61" s="162"/>
      <c r="AI61" s="162"/>
      <c r="AJ61" s="123"/>
      <c r="AK61" s="124"/>
      <c r="AL61" s="124"/>
      <c r="AM61" s="123"/>
      <c r="AN61" s="125"/>
    </row>
    <row r="62" spans="1:40" s="118" customFormat="1" x14ac:dyDescent="0.35">
      <c r="A62" s="162" t="s">
        <v>217</v>
      </c>
      <c r="B62" s="111" t="s">
        <v>159</v>
      </c>
      <c r="C62" s="197">
        <v>0</v>
      </c>
      <c r="D62" s="197">
        <v>0</v>
      </c>
      <c r="E62" s="197">
        <v>1</v>
      </c>
      <c r="F62" s="197">
        <v>0</v>
      </c>
      <c r="G62" s="197">
        <v>0</v>
      </c>
      <c r="H62" s="113">
        <v>1</v>
      </c>
      <c r="I62" s="114">
        <v>0</v>
      </c>
      <c r="J62" s="114">
        <v>0</v>
      </c>
      <c r="K62" s="114">
        <v>0</v>
      </c>
      <c r="L62" s="115">
        <v>0</v>
      </c>
      <c r="M62" s="116">
        <v>0</v>
      </c>
      <c r="N62" s="116">
        <v>0</v>
      </c>
      <c r="O62" s="117">
        <f t="shared" si="46"/>
        <v>2</v>
      </c>
      <c r="Q62" s="162" t="s">
        <v>217</v>
      </c>
      <c r="R62" s="162" t="s">
        <v>159</v>
      </c>
      <c r="S62" s="199">
        <v>0</v>
      </c>
      <c r="T62" s="199">
        <v>0</v>
      </c>
      <c r="U62" s="199">
        <v>47.44</v>
      </c>
      <c r="V62" s="199">
        <v>29.74</v>
      </c>
      <c r="W62" s="199">
        <v>0</v>
      </c>
      <c r="X62" s="200">
        <v>22.32</v>
      </c>
      <c r="Y62" s="200">
        <v>0</v>
      </c>
      <c r="Z62" s="200">
        <v>0</v>
      </c>
      <c r="AA62" s="200">
        <v>0</v>
      </c>
      <c r="AB62" s="199">
        <v>0</v>
      </c>
      <c r="AC62" s="121">
        <v>0</v>
      </c>
      <c r="AD62" s="121">
        <v>0</v>
      </c>
      <c r="AE62" s="122">
        <f t="shared" si="47"/>
        <v>99.5</v>
      </c>
      <c r="AH62" s="162"/>
      <c r="AI62" s="162"/>
      <c r="AJ62" s="123"/>
      <c r="AK62" s="124"/>
      <c r="AL62" s="124"/>
      <c r="AM62" s="123"/>
      <c r="AN62" s="125"/>
    </row>
    <row r="63" spans="1:40" s="118" customFormat="1" x14ac:dyDescent="0.35">
      <c r="A63" s="162" t="s">
        <v>218</v>
      </c>
      <c r="B63" s="111" t="s">
        <v>159</v>
      </c>
      <c r="C63" s="197">
        <v>0</v>
      </c>
      <c r="D63" s="197">
        <v>0</v>
      </c>
      <c r="E63" s="197">
        <v>0</v>
      </c>
      <c r="F63" s="197">
        <v>0</v>
      </c>
      <c r="G63" s="197">
        <v>0</v>
      </c>
      <c r="H63" s="113">
        <v>0</v>
      </c>
      <c r="I63" s="114">
        <v>0</v>
      </c>
      <c r="J63" s="114">
        <v>0</v>
      </c>
      <c r="K63" s="114">
        <v>0</v>
      </c>
      <c r="L63" s="115">
        <v>0</v>
      </c>
      <c r="M63" s="125">
        <v>0</v>
      </c>
      <c r="N63" s="125">
        <v>0</v>
      </c>
      <c r="O63" s="117">
        <f t="shared" si="46"/>
        <v>0</v>
      </c>
      <c r="Q63" s="162" t="s">
        <v>218</v>
      </c>
      <c r="R63" s="162" t="s">
        <v>159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200">
        <v>0</v>
      </c>
      <c r="Y63" s="200">
        <v>0</v>
      </c>
      <c r="Z63" s="200">
        <v>0</v>
      </c>
      <c r="AA63" s="200">
        <v>0</v>
      </c>
      <c r="AB63" s="199">
        <v>0</v>
      </c>
      <c r="AC63" s="121">
        <v>0</v>
      </c>
      <c r="AD63" s="121">
        <v>0</v>
      </c>
      <c r="AE63" s="122">
        <f t="shared" si="47"/>
        <v>0</v>
      </c>
      <c r="AH63" s="162"/>
      <c r="AI63" s="162"/>
      <c r="AJ63" s="123"/>
      <c r="AK63" s="124"/>
      <c r="AL63" s="124"/>
      <c r="AM63" s="123"/>
      <c r="AN63" s="125"/>
    </row>
    <row r="64" spans="1:40" s="118" customFormat="1" x14ac:dyDescent="0.35">
      <c r="A64" s="124" t="s">
        <v>219</v>
      </c>
      <c r="B64" s="111" t="s">
        <v>159</v>
      </c>
      <c r="C64" s="197">
        <v>0</v>
      </c>
      <c r="D64" s="197">
        <v>0</v>
      </c>
      <c r="E64" s="221">
        <v>0</v>
      </c>
      <c r="F64" s="197">
        <v>0</v>
      </c>
      <c r="G64" s="197">
        <v>0</v>
      </c>
      <c r="H64" s="113">
        <v>0</v>
      </c>
      <c r="I64" s="222">
        <v>0</v>
      </c>
      <c r="J64" s="223">
        <v>0</v>
      </c>
      <c r="K64" s="223">
        <v>0</v>
      </c>
      <c r="L64" s="125">
        <v>0</v>
      </c>
      <c r="M64" s="125">
        <v>0</v>
      </c>
      <c r="N64" s="125">
        <v>0</v>
      </c>
      <c r="O64" s="224">
        <f t="shared" si="46"/>
        <v>0</v>
      </c>
      <c r="Q64" s="118" t="s">
        <v>220</v>
      </c>
      <c r="R64" s="162" t="s">
        <v>159</v>
      </c>
      <c r="S64" s="225">
        <v>25.86</v>
      </c>
      <c r="T64" s="225">
        <v>25.86</v>
      </c>
      <c r="U64" s="225">
        <v>25.86</v>
      </c>
      <c r="V64" s="225">
        <v>29.74</v>
      </c>
      <c r="W64" s="225">
        <v>25.86</v>
      </c>
      <c r="X64" s="226">
        <v>25.86</v>
      </c>
      <c r="Y64" s="226">
        <v>25.86</v>
      </c>
      <c r="Z64" s="226">
        <v>25.86</v>
      </c>
      <c r="AA64" s="226">
        <v>25.86</v>
      </c>
      <c r="AB64" s="225">
        <v>25.41</v>
      </c>
      <c r="AC64" s="227">
        <v>25.41</v>
      </c>
      <c r="AD64" s="227">
        <v>25.41</v>
      </c>
      <c r="AE64" s="122">
        <f t="shared" si="47"/>
        <v>312.85000000000014</v>
      </c>
      <c r="AH64" s="124"/>
      <c r="AI64" s="162"/>
      <c r="AJ64" s="123"/>
      <c r="AK64" s="124"/>
      <c r="AL64" s="124"/>
      <c r="AM64" s="123"/>
      <c r="AN64" s="125"/>
    </row>
    <row r="65" spans="1:40" x14ac:dyDescent="0.35">
      <c r="A65" s="166"/>
      <c r="B65" s="166"/>
      <c r="C65" s="228">
        <f>SUM(C47:C64)</f>
        <v>69</v>
      </c>
      <c r="D65" s="228">
        <f>SUM(D47:D64)</f>
        <v>29</v>
      </c>
      <c r="E65" s="228">
        <f>SUM(E47:E64)</f>
        <v>22</v>
      </c>
      <c r="F65" s="228">
        <f>SUM(F47:F64)</f>
        <v>13</v>
      </c>
      <c r="G65" s="228">
        <f>SUM(G47:G64)</f>
        <v>17</v>
      </c>
      <c r="H65" s="229">
        <f t="shared" ref="H65" si="48">SUM(H47:H64)</f>
        <v>13</v>
      </c>
      <c r="I65" s="229">
        <f>SUM(I47:I64)</f>
        <v>9</v>
      </c>
      <c r="J65" s="229">
        <f>SUM(J47:J64)</f>
        <v>13</v>
      </c>
      <c r="K65" s="229">
        <f>SUM(K47:K64)</f>
        <v>15</v>
      </c>
      <c r="L65" s="228">
        <f t="shared" ref="L65:N65" si="49">SUM(L47:L64)</f>
        <v>22</v>
      </c>
      <c r="M65" s="230">
        <f t="shared" si="49"/>
        <v>49</v>
      </c>
      <c r="N65" s="231">
        <f t="shared" si="49"/>
        <v>67</v>
      </c>
      <c r="O65" s="232">
        <f>SUM(O47:O64)</f>
        <v>338</v>
      </c>
      <c r="Q65" s="233" t="s">
        <v>221</v>
      </c>
      <c r="R65" s="234"/>
      <c r="S65" s="235">
        <f t="shared" ref="S65:AA65" si="50">SUM(S47:S64)</f>
        <v>679.47</v>
      </c>
      <c r="T65" s="235">
        <f>SUM(T47:T64)</f>
        <v>465.64</v>
      </c>
      <c r="U65" s="235">
        <f>SUM(U47:U64)</f>
        <v>414.51</v>
      </c>
      <c r="V65" s="235">
        <f>SUM(V47:V64)</f>
        <v>340.62</v>
      </c>
      <c r="W65" s="235">
        <f t="shared" si="50"/>
        <v>326.35000000000002</v>
      </c>
      <c r="X65" s="236">
        <f t="shared" si="50"/>
        <v>289.02000000000004</v>
      </c>
      <c r="Y65" s="236">
        <f t="shared" si="50"/>
        <v>236.28000000000003</v>
      </c>
      <c r="Z65" s="236">
        <f t="shared" si="50"/>
        <v>333.13</v>
      </c>
      <c r="AA65" s="237">
        <f t="shared" si="50"/>
        <v>356.25</v>
      </c>
      <c r="AB65" s="104">
        <f>SUM(AB47:AB64)</f>
        <v>334.50000000000006</v>
      </c>
      <c r="AC65" s="104">
        <f>SUM(AC47:AC64)</f>
        <v>626.29</v>
      </c>
      <c r="AD65" s="104">
        <f>SUM(AD47:AD64)</f>
        <v>711.02</v>
      </c>
      <c r="AE65" s="159">
        <f t="shared" si="47"/>
        <v>5113.08</v>
      </c>
      <c r="AH65" s="238"/>
      <c r="AI65" s="239"/>
      <c r="AJ65" s="104"/>
      <c r="AK65" s="70"/>
      <c r="AL65" s="71"/>
      <c r="AM65" s="104"/>
      <c r="AN65" s="105"/>
    </row>
    <row r="66" spans="1:40" x14ac:dyDescent="0.35">
      <c r="A66" s="240" t="s">
        <v>222</v>
      </c>
      <c r="B66" s="166"/>
      <c r="C66" s="151">
        <f>SUM(C23,C45,C65)</f>
        <v>4402</v>
      </c>
      <c r="D66" s="151">
        <f>SUM(D23,D45,D65)</f>
        <v>3262</v>
      </c>
      <c r="E66" s="151">
        <f>SUM(E23,E45,E65)</f>
        <v>5288</v>
      </c>
      <c r="F66" s="151">
        <f t="shared" ref="F66:G66" si="51">SUM(F23,F45,F65)</f>
        <v>5506</v>
      </c>
      <c r="G66" s="151">
        <f t="shared" si="51"/>
        <v>5330</v>
      </c>
      <c r="H66" s="241">
        <f>SUM(H23,H45,H65)</f>
        <v>7152</v>
      </c>
      <c r="I66" s="241">
        <f>SUM(I23,I45,I65)</f>
        <v>5542</v>
      </c>
      <c r="J66" s="241">
        <f>SUM(J23,J45,J65)</f>
        <v>5147</v>
      </c>
      <c r="K66" s="241">
        <f t="shared" ref="K66:L66" si="52">SUM(K23,K45,K65)</f>
        <v>8271</v>
      </c>
      <c r="L66" s="241">
        <f t="shared" si="52"/>
        <v>8151</v>
      </c>
      <c r="M66" s="241">
        <f>SUM(M23,M45,M65)</f>
        <v>9012</v>
      </c>
      <c r="N66" s="241">
        <f>SUM(N23,N45,N65)</f>
        <v>6983</v>
      </c>
      <c r="O66" s="154">
        <f>SUM(C66:N66)</f>
        <v>74046</v>
      </c>
      <c r="Q66" s="233" t="s">
        <v>223</v>
      </c>
      <c r="S66" s="158">
        <f t="shared" ref="S66:AC66" si="53">SUM(S65,S45,S23)</f>
        <v>63900.700000000004</v>
      </c>
      <c r="T66" s="158">
        <f>SUM(T65,T45,T23)</f>
        <v>57030.55</v>
      </c>
      <c r="U66" s="158">
        <f>SUM(U65,U45,U23)</f>
        <v>70266.7</v>
      </c>
      <c r="V66" s="158">
        <f>SUM(V65,V45,V23)</f>
        <v>103672.83999999998</v>
      </c>
      <c r="W66" s="158">
        <f t="shared" si="53"/>
        <v>80458.63</v>
      </c>
      <c r="X66" s="242">
        <f t="shared" si="53"/>
        <v>113839.48</v>
      </c>
      <c r="Y66" s="242">
        <f t="shared" si="53"/>
        <v>47481.58</v>
      </c>
      <c r="Z66" s="242">
        <f t="shared" si="53"/>
        <v>81382.820000000007</v>
      </c>
      <c r="AA66" s="242">
        <f t="shared" si="53"/>
        <v>112594.64</v>
      </c>
      <c r="AB66" s="158">
        <f>SUM(AB65,AB45,AB23)</f>
        <v>104092.73000000001</v>
      </c>
      <c r="AC66" s="158">
        <f t="shared" si="53"/>
        <v>91868</v>
      </c>
      <c r="AD66" s="158">
        <f>SUM(AD65,AD45,AD23)</f>
        <v>65399.918892003305</v>
      </c>
      <c r="AE66" s="159">
        <f>SUM(S66:AD66)</f>
        <v>991988.58889200329</v>
      </c>
      <c r="AF66" s="93"/>
      <c r="AH66" s="238"/>
      <c r="AI66" s="70"/>
      <c r="AJ66" s="104"/>
      <c r="AK66" s="105"/>
      <c r="AL66" s="71"/>
      <c r="AM66" s="104"/>
      <c r="AN66" s="105"/>
    </row>
    <row r="67" spans="1:40" x14ac:dyDescent="0.35">
      <c r="A67" s="240" t="s">
        <v>224</v>
      </c>
      <c r="B67" s="166"/>
      <c r="C67" s="230">
        <f>SUM(C5,C6,C7,C8,C10,C13,C14,C15,C16,C17,C18,C20,C21,C22,C28:C44)</f>
        <v>3413</v>
      </c>
      <c r="D67" s="230">
        <f>SUM(D5,D6,D7,D8,D10,D12, D13,D14,D15,D16,D17,D18,D20,D21,D22,D28:D44)</f>
        <v>2493</v>
      </c>
      <c r="E67" s="230">
        <f>SUM(E5,E6,E7,E8,E10,E12,E13,E14,E15,E16,E17,E18,E20,E21,E22,E28:E44)</f>
        <v>4574</v>
      </c>
      <c r="F67" s="230">
        <f>SUM(F5,F6,F7,F8,F10,F12,F13,F14,F15,F16,F17,F18,F20,F21,F22,F28:F44)</f>
        <v>4672</v>
      </c>
      <c r="G67" s="230">
        <f>SUM(G5,G6,G7,G8,G10,G13,G14,G15,G16,G17,G18,G20,G21,G22,G28:G44)</f>
        <v>4625</v>
      </c>
      <c r="H67" s="243">
        <f>SUM(H5,H6,H7,H8,H10,H13,H14,H15,H16,H17,H18,H20,H21,H22,H28:H44)</f>
        <v>6261</v>
      </c>
      <c r="I67" s="243">
        <f t="shared" ref="I67:M67" si="54">SUM(I5,I6,I7,I8,I10,I12,I13,I14,I15,I16,I17,I18,I20,I21,I22,I28:I44)</f>
        <v>4824</v>
      </c>
      <c r="J67" s="243">
        <f t="shared" si="54"/>
        <v>4352</v>
      </c>
      <c r="K67" s="243">
        <f t="shared" si="54"/>
        <v>7576</v>
      </c>
      <c r="L67" s="243">
        <f t="shared" si="54"/>
        <v>7397</v>
      </c>
      <c r="M67" s="243">
        <f t="shared" si="54"/>
        <v>8198</v>
      </c>
      <c r="N67" s="243">
        <f>SUM(N5,N6,N7,N8,N10,N12,N13,N14,N15,N16,N17,N18,N20,N21,N22,N28:N44)</f>
        <v>6065</v>
      </c>
      <c r="O67" s="232">
        <f>SUM(C67:N67)</f>
        <v>64450</v>
      </c>
      <c r="Q67" s="233"/>
      <c r="S67" s="93"/>
      <c r="T67" s="93"/>
      <c r="U67" s="93"/>
      <c r="V67" s="93"/>
      <c r="W67" s="93"/>
      <c r="X67" s="244"/>
      <c r="Y67" s="245" t="s">
        <v>225</v>
      </c>
      <c r="Z67" s="244"/>
      <c r="AC67" s="93"/>
      <c r="AD67" s="93"/>
      <c r="AE67" s="103"/>
      <c r="AH67" s="238"/>
      <c r="AI67" s="70"/>
      <c r="AJ67" s="70"/>
      <c r="AK67" s="70"/>
      <c r="AL67" s="71"/>
    </row>
    <row r="68" spans="1:40" x14ac:dyDescent="0.35">
      <c r="A68" s="70" t="s">
        <v>226</v>
      </c>
      <c r="B68" s="166"/>
      <c r="C68" s="151">
        <f>C69-C70</f>
        <v>-1142</v>
      </c>
      <c r="D68" s="151">
        <f>D69-D70</f>
        <v>17</v>
      </c>
      <c r="E68" s="151">
        <f t="shared" ref="E68:F68" si="55">E69-E70</f>
        <v>479</v>
      </c>
      <c r="F68" s="151">
        <f t="shared" si="55"/>
        <v>-1707</v>
      </c>
      <c r="G68" s="151">
        <f>G69-G70</f>
        <v>-484</v>
      </c>
      <c r="H68" s="241">
        <f>H69-H70</f>
        <v>-1460</v>
      </c>
      <c r="I68" s="241">
        <f t="shared" ref="I68:M68" si="56">I69-I70</f>
        <v>1622</v>
      </c>
      <c r="J68" s="241">
        <f t="shared" si="56"/>
        <v>-1203</v>
      </c>
      <c r="K68" s="241">
        <f t="shared" si="56"/>
        <v>863</v>
      </c>
      <c r="L68" s="241">
        <f t="shared" si="56"/>
        <v>-893</v>
      </c>
      <c r="M68" s="241">
        <f t="shared" si="56"/>
        <v>1242</v>
      </c>
      <c r="N68" s="241">
        <f>N69-N70</f>
        <v>-1802</v>
      </c>
      <c r="O68" s="246">
        <f>SUM(C68:N68)/12</f>
        <v>-372.33333333333331</v>
      </c>
      <c r="P68" s="67" t="s">
        <v>227</v>
      </c>
      <c r="Q68" s="247" t="s">
        <v>228</v>
      </c>
      <c r="S68" s="93"/>
      <c r="T68" s="93"/>
      <c r="U68" s="93"/>
      <c r="V68" s="93"/>
      <c r="W68" s="93"/>
      <c r="X68" s="244"/>
      <c r="AC68" s="104"/>
      <c r="AD68" s="101"/>
      <c r="AE68" s="89"/>
      <c r="AH68" s="249"/>
      <c r="AI68" s="70"/>
      <c r="AJ68" s="70"/>
      <c r="AK68" s="70"/>
      <c r="AL68" s="71"/>
    </row>
    <row r="69" spans="1:40" x14ac:dyDescent="0.35">
      <c r="A69" s="250" t="s">
        <v>229</v>
      </c>
      <c r="B69" s="251"/>
      <c r="C69" s="252">
        <v>3733</v>
      </c>
      <c r="D69" s="252">
        <v>4279</v>
      </c>
      <c r="E69" s="252">
        <v>5554</v>
      </c>
      <c r="F69" s="252">
        <v>5965</v>
      </c>
      <c r="G69" s="252">
        <v>5408</v>
      </c>
      <c r="H69" s="253">
        <v>6668</v>
      </c>
      <c r="I69" s="253">
        <v>4707</v>
      </c>
      <c r="J69" s="253">
        <v>4632</v>
      </c>
      <c r="K69" s="253">
        <v>9490</v>
      </c>
      <c r="L69" s="253">
        <v>8574</v>
      </c>
      <c r="M69" s="253">
        <v>10362</v>
      </c>
      <c r="N69" s="253">
        <v>4005</v>
      </c>
      <c r="O69" s="254">
        <f>SUM(C69:N69)</f>
        <v>73377</v>
      </c>
      <c r="Q69" s="166" t="s">
        <v>230</v>
      </c>
      <c r="R69" s="166"/>
      <c r="S69" s="104">
        <f t="shared" ref="S69:T69" si="57">SUM(S5,S7,S8,S9,S10,S11,S12,S13,S14,S15,S16,S18,S19,S21,S22)</f>
        <v>32650.832683855842</v>
      </c>
      <c r="T69" s="104">
        <f t="shared" si="57"/>
        <v>24576.6805736061</v>
      </c>
      <c r="U69" s="104">
        <f>SUM(U5,U7,U8,U9,U10,U11,U12,U13,U14,U15,U16,U18,U19,U21,U22)</f>
        <v>17016.057041976386</v>
      </c>
      <c r="V69" s="104">
        <f>SUM(V5,V7,V8,V9,V10,V11,V12,V13,V14,V15,V16,V18,V19,V21,V22)</f>
        <v>20894.034683219175</v>
      </c>
      <c r="W69" s="104">
        <f>SUM(W5,W7,W8,W9,W10,W11,W12,W13,W14,W15,W16,W18,W19,W21,W22)</f>
        <v>15483.357115675677</v>
      </c>
      <c r="X69" s="237">
        <f>SUM(X5,X7,X8,X9,X10,X11,X13,X14,X15,X16,X18,X19,X21,X22)</f>
        <v>24629.55292605015</v>
      </c>
      <c r="Y69" s="237">
        <f>SUM(Y5,Y7,Y8,Y9,Y10,Y11,Y13,Y14,Y15,Y16,Y18,Y19,Y21,Y22)</f>
        <v>11081.381961028192</v>
      </c>
      <c r="Z69" s="237">
        <f>SUM(Z5,Z7,Z8,Z9,Z10,Z11,Z12,Z13,Z14,Z15,Z16,Z18,Z19,Z21,Z22)</f>
        <v>15191.133554687502</v>
      </c>
      <c r="AA69" s="237">
        <f>SUM(AA5,AA7,AA8,AA9,AA10,AA11,AA12,AA13,AA14,AA15,AA16,AA18,AA19,AA21,AA22)</f>
        <v>15210.52670274551</v>
      </c>
      <c r="AB69" s="104">
        <f>SUM(AB5,AB7,AB8,AB9,AB10,AB11,AB12,AB13,AB14,AB15,AB16,AB18,AB19,AB21,AB22)</f>
        <v>28083.171710152765</v>
      </c>
      <c r="AC69" s="93">
        <f>SUM(AC5,AC7,AC8,AC9,AC10,AC11,AC13,AC14,AC15,AC16,AC18,AC19,AC21,AC22)</f>
        <v>22412.753991217371</v>
      </c>
      <c r="AD69" s="93">
        <f>SUM(AD5,AD7,AD8,AD9,AD10,AD11,AD13,AD14,AD15,AD16,AD18,AD19,AD21,AD22)</f>
        <v>40353.67916405607</v>
      </c>
      <c r="AE69" s="103">
        <f>SUM(S69:AD69)</f>
        <v>267583.16210827068</v>
      </c>
      <c r="AH69" s="166"/>
      <c r="AI69" s="166"/>
      <c r="AJ69" s="104"/>
      <c r="AK69" s="105"/>
      <c r="AL69" s="71"/>
      <c r="AM69" s="104"/>
      <c r="AN69" s="105"/>
    </row>
    <row r="70" spans="1:40" x14ac:dyDescent="0.35">
      <c r="A70" s="255" t="s">
        <v>231</v>
      </c>
      <c r="B70" s="256"/>
      <c r="C70" s="257">
        <v>4875</v>
      </c>
      <c r="D70" s="257">
        <v>4262</v>
      </c>
      <c r="E70" s="257">
        <v>5075</v>
      </c>
      <c r="F70" s="257">
        <v>7672</v>
      </c>
      <c r="G70" s="257">
        <v>5892</v>
      </c>
      <c r="H70" s="258">
        <v>8128</v>
      </c>
      <c r="I70" s="258">
        <v>3085</v>
      </c>
      <c r="J70" s="258">
        <v>5835</v>
      </c>
      <c r="K70" s="258">
        <v>8627</v>
      </c>
      <c r="L70" s="258">
        <v>9467</v>
      </c>
      <c r="M70" s="259">
        <v>9120</v>
      </c>
      <c r="N70" s="259">
        <v>5807</v>
      </c>
      <c r="O70" s="260">
        <f>SUM(C70:N70)</f>
        <v>77845</v>
      </c>
      <c r="Q70" s="67" t="s">
        <v>232</v>
      </c>
      <c r="S70" s="104">
        <f t="shared" ref="S70:AB70" si="58">SUM(S6,S17,S20)</f>
        <v>5486.7111631995313</v>
      </c>
      <c r="T70" s="104">
        <f t="shared" si="58"/>
        <v>6190.5461612515046</v>
      </c>
      <c r="U70" s="104">
        <f t="shared" si="58"/>
        <v>6356.6229077393964</v>
      </c>
      <c r="V70" s="104">
        <f t="shared" si="58"/>
        <v>11772.000256849315</v>
      </c>
      <c r="W70" s="104">
        <f t="shared" si="58"/>
        <v>8631.1371156756759</v>
      </c>
      <c r="X70" s="237">
        <f t="shared" si="58"/>
        <v>11790.139262098706</v>
      </c>
      <c r="Y70" s="237">
        <f t="shared" si="58"/>
        <v>3242.8130638474299</v>
      </c>
      <c r="Z70" s="237">
        <f>SUM(Z6,Z17,Z20)</f>
        <v>7602.8887431066169</v>
      </c>
      <c r="AA70" s="237">
        <f>SUM(AA6,AA17,AA20)</f>
        <v>10104.510283790918</v>
      </c>
      <c r="AB70" s="104">
        <f t="shared" si="58"/>
        <v>7973.4589509260513</v>
      </c>
      <c r="AC70" s="93">
        <f>SUM(AC6,AC17,AC20)</f>
        <v>6269.0609904854846</v>
      </c>
      <c r="AD70" s="93">
        <f>SUM(AD6,AD17,AD20)</f>
        <v>3345.6454278647984</v>
      </c>
      <c r="AE70" s="103">
        <f t="shared" ref="AE70:AE75" si="59">SUM(S70:AD70)</f>
        <v>88765.534326835434</v>
      </c>
      <c r="AH70" s="70"/>
      <c r="AI70" s="70"/>
      <c r="AJ70" s="104"/>
      <c r="AK70" s="105"/>
      <c r="AL70" s="71"/>
      <c r="AM70" s="104"/>
      <c r="AN70" s="105"/>
    </row>
    <row r="71" spans="1:40" x14ac:dyDescent="0.35">
      <c r="A71" s="238" t="s">
        <v>233</v>
      </c>
      <c r="B71" s="166"/>
      <c r="C71" s="261">
        <f>SUM(C9,C11,C19,C25:C27,C47:C51,C57,C59:C64)</f>
        <v>989</v>
      </c>
      <c r="D71" s="261">
        <f>SUM(D9,D11,D19,D25:D27,D47:D51,D57,D59:D64)</f>
        <v>769</v>
      </c>
      <c r="E71" s="147">
        <f t="shared" ref="E71:M71" si="60">SUM(E9,E11,E19,E25:E27,E47:E51,E57,E59:E64)</f>
        <v>714</v>
      </c>
      <c r="F71" s="147">
        <f t="shared" si="60"/>
        <v>834</v>
      </c>
      <c r="G71" s="147">
        <f t="shared" si="60"/>
        <v>705</v>
      </c>
      <c r="H71" s="262">
        <f t="shared" si="60"/>
        <v>891</v>
      </c>
      <c r="I71" s="262">
        <f>SUM(I9,I11,I19,I25:I27,I47:I51,I57,I59:I64)</f>
        <v>718</v>
      </c>
      <c r="J71" s="262">
        <f>SUM(J9,J11,J19,J25:J27,J47:J51,J57,J59:J64)</f>
        <v>795</v>
      </c>
      <c r="K71" s="262">
        <f t="shared" si="60"/>
        <v>695</v>
      </c>
      <c r="L71" s="262">
        <f t="shared" si="60"/>
        <v>754</v>
      </c>
      <c r="M71" s="262">
        <f t="shared" si="60"/>
        <v>814</v>
      </c>
      <c r="N71" s="262">
        <f>SUM(N9,N11,N19,N25:N27,N47:N51,N57,N59:N64)</f>
        <v>918</v>
      </c>
      <c r="O71" s="190">
        <f>SUM(C71:N71)</f>
        <v>9596</v>
      </c>
      <c r="Q71" s="166" t="s">
        <v>234</v>
      </c>
      <c r="R71" s="166"/>
      <c r="S71" s="104">
        <f t="shared" ref="S71:AB71" si="61">SUM(S27,S28,S29,S30,S31,S32,S33,S34,S35,S38,S39,S40,S42,S43,S44)</f>
        <v>8528.6546440082057</v>
      </c>
      <c r="T71" s="104">
        <f t="shared" si="61"/>
        <v>11791.016081026877</v>
      </c>
      <c r="U71" s="104">
        <f t="shared" si="61"/>
        <v>33703.442883690426</v>
      </c>
      <c r="V71" s="104">
        <f t="shared" si="61"/>
        <v>52287.147559931494</v>
      </c>
      <c r="W71" s="104">
        <f t="shared" si="61"/>
        <v>41089.715831351357</v>
      </c>
      <c r="X71" s="237">
        <f t="shared" si="61"/>
        <v>57379.475363360485</v>
      </c>
      <c r="Y71" s="237">
        <f t="shared" si="61"/>
        <v>23439.439848673304</v>
      </c>
      <c r="Z71" s="237">
        <f>SUM(Z27,Z28,Z29,Z30,Z31,Z32,Z33,Z34,Z35,Z38,Z39,Z40,Z42,Z43,Z44)</f>
        <v>41895.366879595582</v>
      </c>
      <c r="AA71" s="237">
        <f>SUM(AA27,AA28,AA29,AA30,AA31,AA32,AA33,AA34,AA35,AA38,AA39,AA40,AA42,AA43,AA44)</f>
        <v>64113.997127771916</v>
      </c>
      <c r="AB71" s="104">
        <f t="shared" si="61"/>
        <v>45492.511258618353</v>
      </c>
      <c r="AC71" s="93">
        <f>SUM(AC26,AC27,AC28:AC35,AC38:AC40,AC42:AC44)</f>
        <v>41379.729065625761</v>
      </c>
      <c r="AD71" s="93">
        <f>SUM(AD26,AD27,AD28:AD35,AD38:AD40,AD42:AD44)</f>
        <v>9637.5137262984335</v>
      </c>
      <c r="AE71" s="103">
        <f t="shared" si="59"/>
        <v>430738.01026995212</v>
      </c>
      <c r="AH71" s="166"/>
      <c r="AI71" s="166"/>
      <c r="AJ71" s="104"/>
      <c r="AK71" s="105"/>
      <c r="AL71" s="71"/>
      <c r="AM71" s="104"/>
      <c r="AN71" s="105"/>
    </row>
    <row r="72" spans="1:40" x14ac:dyDescent="0.35">
      <c r="A72" s="166"/>
      <c r="B72" s="166"/>
      <c r="C72" s="151">
        <f>SUM(C70:C71)</f>
        <v>5864</v>
      </c>
      <c r="D72" s="151">
        <f>SUM(D70:D71)</f>
        <v>5031</v>
      </c>
      <c r="E72" s="151">
        <f>SUM(E70:E71)</f>
        <v>5789</v>
      </c>
      <c r="F72" s="151">
        <f t="shared" ref="F72" si="62">SUM(F70:F71)</f>
        <v>8506</v>
      </c>
      <c r="G72" s="151">
        <f>SUM(G70:G71)</f>
        <v>6597</v>
      </c>
      <c r="H72" s="241">
        <f t="shared" ref="H72:I72" si="63">SUM(H70:H71)</f>
        <v>9019</v>
      </c>
      <c r="I72" s="241">
        <f t="shared" si="63"/>
        <v>3803</v>
      </c>
      <c r="J72" s="241">
        <f>SUM(J70:J71)</f>
        <v>6630</v>
      </c>
      <c r="K72" s="241">
        <f t="shared" ref="K72:M72" si="64">SUM(K70:K71)</f>
        <v>9322</v>
      </c>
      <c r="L72" s="241">
        <f t="shared" si="64"/>
        <v>10221</v>
      </c>
      <c r="M72" s="263">
        <f t="shared" si="64"/>
        <v>9934</v>
      </c>
      <c r="N72" s="263">
        <f>SUM(N70:N71)</f>
        <v>6725</v>
      </c>
      <c r="O72" s="519">
        <f>SUM(O70:O71)</f>
        <v>87441</v>
      </c>
      <c r="Q72" s="67" t="s">
        <v>235</v>
      </c>
      <c r="S72" s="104">
        <f t="shared" ref="S72:T72" si="65">SUM(S25,S36,S41)</f>
        <v>16472.691508936419</v>
      </c>
      <c r="T72" s="104">
        <f t="shared" si="65"/>
        <v>13948.187184115524</v>
      </c>
      <c r="U72" s="104">
        <f>SUM(U25,U36,U41)</f>
        <v>12693.727166593791</v>
      </c>
      <c r="V72" s="104">
        <f>SUM(V25,V36,V41)</f>
        <v>18308.627499999999</v>
      </c>
      <c r="W72" s="104">
        <f>SUM(W25,W36,W41)</f>
        <v>14857.6599372973</v>
      </c>
      <c r="X72" s="237">
        <f t="shared" ref="X72:AD72" si="66">SUM(X25,X36,X41)</f>
        <v>19668.952448490658</v>
      </c>
      <c r="Y72" s="237">
        <f t="shared" si="66"/>
        <v>9435.115126451079</v>
      </c>
      <c r="Z72" s="237">
        <f t="shared" si="66"/>
        <v>16289.890822610294</v>
      </c>
      <c r="AA72" s="237">
        <f t="shared" si="66"/>
        <v>22738.945885691657</v>
      </c>
      <c r="AB72" s="104">
        <f t="shared" si="66"/>
        <v>22138.67808030283</v>
      </c>
      <c r="AC72" s="104">
        <f t="shared" si="66"/>
        <v>21180.165952671385</v>
      </c>
      <c r="AD72" s="264">
        <f t="shared" si="66"/>
        <v>11352.060573784007</v>
      </c>
      <c r="AE72" s="104">
        <f t="shared" si="59"/>
        <v>199084.70218694492</v>
      </c>
      <c r="AH72" s="70"/>
      <c r="AI72" s="70"/>
      <c r="AJ72" s="104"/>
      <c r="AK72" s="105"/>
      <c r="AL72" s="71"/>
      <c r="AM72" s="104"/>
      <c r="AN72" s="105"/>
    </row>
    <row r="73" spans="1:40" ht="16" thickBot="1" x14ac:dyDescent="0.4">
      <c r="I73" s="266" t="s">
        <v>236</v>
      </c>
      <c r="Q73" s="67" t="s">
        <v>237</v>
      </c>
      <c r="S73" s="104">
        <f t="shared" ref="S73:T73" si="67">SUM(S47:S64,S26)</f>
        <v>761.81000000000006</v>
      </c>
      <c r="T73" s="104">
        <f t="shared" si="67"/>
        <v>524.12</v>
      </c>
      <c r="U73" s="104">
        <f>SUM(U47:U64,U26)</f>
        <v>496.85</v>
      </c>
      <c r="V73" s="104">
        <f>SUM(V47:V64,V26)</f>
        <v>411.03</v>
      </c>
      <c r="W73" s="104">
        <f>SUM(W47:W64,W26)</f>
        <v>396.76</v>
      </c>
      <c r="X73" s="237">
        <f>SUM(X47:X64,X26)</f>
        <v>371.36</v>
      </c>
      <c r="Y73" s="237">
        <f t="shared" ref="Y73:AB73" si="68">SUM(Y47:Y64,Y26)</f>
        <v>282.83000000000004</v>
      </c>
      <c r="Z73" s="237">
        <f t="shared" si="68"/>
        <v>403.53999999999996</v>
      </c>
      <c r="AA73" s="237">
        <f t="shared" si="68"/>
        <v>426.65999999999997</v>
      </c>
      <c r="AB73" s="104">
        <f t="shared" si="68"/>
        <v>404.91000000000008</v>
      </c>
      <c r="AC73" s="104">
        <f>SUM(AC47:AC51,AC57,AC59:AC64)</f>
        <v>626.29</v>
      </c>
      <c r="AD73" s="268">
        <f>SUM(AD47:AD51,AD57,AD59:AD64)</f>
        <v>711.02</v>
      </c>
      <c r="AE73" s="104">
        <f t="shared" si="59"/>
        <v>5817.18</v>
      </c>
      <c r="AH73" s="70"/>
      <c r="AI73" s="70"/>
      <c r="AJ73" s="104"/>
      <c r="AK73" s="105"/>
      <c r="AL73" s="71"/>
      <c r="AM73" s="104"/>
      <c r="AN73" s="105"/>
    </row>
    <row r="74" spans="1:40" ht="16.5" thickTop="1" thickBot="1" x14ac:dyDescent="0.4">
      <c r="A74" s="269" t="s">
        <v>238</v>
      </c>
      <c r="B74" s="270"/>
      <c r="C74" s="271">
        <f t="shared" ref="C74:N74" si="69">C75-C76</f>
        <v>-1375</v>
      </c>
      <c r="D74" s="271">
        <f t="shared" si="69"/>
        <v>-25</v>
      </c>
      <c r="E74" s="271">
        <f t="shared" si="69"/>
        <v>1258</v>
      </c>
      <c r="F74" s="271">
        <f t="shared" si="69"/>
        <v>-643</v>
      </c>
      <c r="G74" s="271">
        <f t="shared" si="69"/>
        <v>1713</v>
      </c>
      <c r="H74" s="272">
        <f t="shared" si="69"/>
        <v>19</v>
      </c>
      <c r="I74" s="272">
        <f t="shared" si="69"/>
        <v>-320</v>
      </c>
      <c r="J74" s="272">
        <f t="shared" si="69"/>
        <v>534</v>
      </c>
      <c r="K74" s="272">
        <f t="shared" si="69"/>
        <v>-707</v>
      </c>
      <c r="L74" s="271">
        <f t="shared" si="69"/>
        <v>-482</v>
      </c>
      <c r="M74" s="271">
        <f t="shared" si="69"/>
        <v>1512</v>
      </c>
      <c r="N74" s="271">
        <f t="shared" si="69"/>
        <v>-293</v>
      </c>
      <c r="O74" s="273">
        <f>SUM(C74:N74)/12</f>
        <v>99.25</v>
      </c>
      <c r="Q74" s="274" t="s">
        <v>239</v>
      </c>
      <c r="R74" s="275"/>
      <c r="S74" s="276">
        <f>SUM(S69:S73)</f>
        <v>63900.7</v>
      </c>
      <c r="T74" s="276">
        <f>SUM(T69:T73)</f>
        <v>57030.55000000001</v>
      </c>
      <c r="U74" s="276">
        <f t="shared" ref="U74:AA74" si="70">SUM(U69:U73)</f>
        <v>70266.700000000012</v>
      </c>
      <c r="V74" s="276">
        <f t="shared" si="70"/>
        <v>103672.83999999998</v>
      </c>
      <c r="W74" s="276">
        <f t="shared" si="70"/>
        <v>80458.63</v>
      </c>
      <c r="X74" s="277">
        <f>SUM(X69:X73)</f>
        <v>113839.48</v>
      </c>
      <c r="Y74" s="277">
        <f t="shared" si="70"/>
        <v>47481.580000000009</v>
      </c>
      <c r="Z74" s="277">
        <f t="shared" si="70"/>
        <v>81382.819999999992</v>
      </c>
      <c r="AA74" s="277">
        <f t="shared" si="70"/>
        <v>112594.64</v>
      </c>
      <c r="AB74" s="276">
        <f>SUM(AB69:AB73)</f>
        <v>104092.73000000001</v>
      </c>
      <c r="AC74" s="276">
        <f>SUM(AC69:AC73)</f>
        <v>91867.999999999985</v>
      </c>
      <c r="AD74" s="276">
        <f>SUM(AD69:AD73)</f>
        <v>65399.918892003312</v>
      </c>
      <c r="AE74" s="278">
        <f t="shared" si="59"/>
        <v>991988.58889200329</v>
      </c>
      <c r="AH74" s="238"/>
      <c r="AI74" s="70"/>
      <c r="AJ74" s="104"/>
      <c r="AK74" s="105"/>
      <c r="AL74" s="71"/>
      <c r="AM74" s="104"/>
      <c r="AN74" s="105"/>
    </row>
    <row r="75" spans="1:40" x14ac:dyDescent="0.35">
      <c r="A75" s="279" t="s">
        <v>240</v>
      </c>
      <c r="C75" s="252">
        <v>3317</v>
      </c>
      <c r="D75" s="252">
        <v>2814</v>
      </c>
      <c r="E75" s="252">
        <v>7139</v>
      </c>
      <c r="F75" s="252">
        <v>7353</v>
      </c>
      <c r="G75" s="252">
        <v>8276</v>
      </c>
      <c r="H75" s="280">
        <v>8503</v>
      </c>
      <c r="I75" s="280">
        <v>3485</v>
      </c>
      <c r="J75" s="280">
        <v>7273</v>
      </c>
      <c r="K75" s="280">
        <v>7913</v>
      </c>
      <c r="L75" s="252">
        <v>8223</v>
      </c>
      <c r="M75" s="252">
        <v>10287</v>
      </c>
      <c r="N75" s="252">
        <v>4749</v>
      </c>
      <c r="O75" s="254">
        <f>SUM(C75:N75)</f>
        <v>79332</v>
      </c>
      <c r="Q75" s="281" t="s">
        <v>241</v>
      </c>
      <c r="R75" s="282"/>
      <c r="S75" s="283">
        <f>SUM(S5:S8,S10,S13:S18,S20:S22,S28:S36,S38:S44)</f>
        <v>52017.069999999992</v>
      </c>
      <c r="T75" s="283">
        <f>SUM(T5:T8,T10,T12:T18,T20:T22,T28:T36,T38:T44)</f>
        <v>48077.979999999996</v>
      </c>
      <c r="U75" s="283">
        <f>SUM(U5:U8,U10,U12:U18,U20:U22,U28:U36,U38:U44)</f>
        <v>61340.070000000007</v>
      </c>
      <c r="V75" s="283">
        <f>SUM(V5:V8,V10,V12:V18,V20:V22,V28:V36,V38:V44)</f>
        <v>93218.280000000013</v>
      </c>
      <c r="W75" s="283">
        <f>SUM(W5:W8,W10,W12:W18,W20:W22,W28:W36,W38:W44)</f>
        <v>71667.88</v>
      </c>
      <c r="X75" s="284">
        <f t="shared" ref="X75:AC75" si="71">SUM(X5:X8,X10,X12:X18,X20:X22,X28:X36,X38:X44)</f>
        <v>98819.359999999986</v>
      </c>
      <c r="Y75" s="284">
        <f t="shared" si="71"/>
        <v>38530.369999999995</v>
      </c>
      <c r="Z75" s="284">
        <f t="shared" si="71"/>
        <v>71463.87000000001</v>
      </c>
      <c r="AA75" s="284">
        <f t="shared" si="71"/>
        <v>103869.42999999998</v>
      </c>
      <c r="AB75" s="283">
        <f t="shared" si="71"/>
        <v>94822.630000000034</v>
      </c>
      <c r="AC75" s="283">
        <f t="shared" si="71"/>
        <v>82494.000000000015</v>
      </c>
      <c r="AD75" s="285">
        <f>SUM(AD5:AD8,AD10,AD12:AD18,AD20:AD22,AD28:AD36,AD38:AD44)</f>
        <v>54999.148892003308</v>
      </c>
      <c r="AE75" s="286">
        <f t="shared" si="59"/>
        <v>871320.08889200329</v>
      </c>
      <c r="AH75" s="70"/>
      <c r="AI75" s="70"/>
      <c r="AJ75" s="104"/>
      <c r="AK75" s="70"/>
      <c r="AL75" s="71"/>
    </row>
    <row r="76" spans="1:40" x14ac:dyDescent="0.35">
      <c r="A76" s="287" t="s">
        <v>242</v>
      </c>
      <c r="C76" s="257">
        <v>4692</v>
      </c>
      <c r="D76" s="257">
        <v>2839</v>
      </c>
      <c r="E76" s="257">
        <v>5881</v>
      </c>
      <c r="F76" s="257">
        <v>7996</v>
      </c>
      <c r="G76" s="257">
        <v>6563</v>
      </c>
      <c r="H76" s="288">
        <v>8484</v>
      </c>
      <c r="I76" s="288">
        <v>3805</v>
      </c>
      <c r="J76" s="288">
        <v>6739</v>
      </c>
      <c r="K76" s="288">
        <v>8620</v>
      </c>
      <c r="L76" s="257">
        <v>8705</v>
      </c>
      <c r="M76" s="289">
        <v>8775</v>
      </c>
      <c r="N76" s="289">
        <v>5042</v>
      </c>
      <c r="O76" s="260">
        <v>78141</v>
      </c>
      <c r="Q76" s="251" t="s">
        <v>243</v>
      </c>
      <c r="R76" s="251"/>
      <c r="S76" s="290">
        <v>52017.07</v>
      </c>
      <c r="T76" s="290">
        <v>48077.98</v>
      </c>
      <c r="U76" s="290">
        <v>61340.07</v>
      </c>
      <c r="V76" s="290">
        <v>93218.28</v>
      </c>
      <c r="W76" s="290">
        <v>71667.88</v>
      </c>
      <c r="X76" s="291">
        <v>98819.36</v>
      </c>
      <c r="Y76" s="291">
        <v>38530.370000000003</v>
      </c>
      <c r="Z76" s="291">
        <v>71463.87</v>
      </c>
      <c r="AA76" s="291">
        <v>103869.43</v>
      </c>
      <c r="AB76" s="290">
        <v>94822.63</v>
      </c>
      <c r="AC76" s="290">
        <v>82494</v>
      </c>
      <c r="AD76" s="292">
        <v>54990.080000000002</v>
      </c>
      <c r="AE76" s="293">
        <f>SUM(S76:AD76)</f>
        <v>871311.02</v>
      </c>
      <c r="AH76" s="70"/>
      <c r="AI76" s="70"/>
      <c r="AJ76" s="104"/>
      <c r="AK76" s="105"/>
      <c r="AL76" s="71"/>
      <c r="AM76" s="104"/>
      <c r="AN76" s="105"/>
    </row>
    <row r="77" spans="1:40" ht="16" thickBot="1" x14ac:dyDescent="0.4">
      <c r="A77" s="294" t="s">
        <v>244</v>
      </c>
      <c r="C77" s="261">
        <v>644</v>
      </c>
      <c r="D77" s="261">
        <v>820</v>
      </c>
      <c r="E77" s="147">
        <v>1027</v>
      </c>
      <c r="F77" s="147">
        <v>941</v>
      </c>
      <c r="G77" s="147">
        <v>1077</v>
      </c>
      <c r="H77" s="295">
        <v>912</v>
      </c>
      <c r="I77" s="295">
        <v>945</v>
      </c>
      <c r="J77" s="295">
        <v>1192</v>
      </c>
      <c r="K77" s="295">
        <v>1017</v>
      </c>
      <c r="L77" s="147">
        <v>1032</v>
      </c>
      <c r="M77" s="147">
        <v>1302</v>
      </c>
      <c r="N77" s="147">
        <v>1138</v>
      </c>
      <c r="O77" s="190">
        <v>12047</v>
      </c>
      <c r="Q77" s="67" t="s">
        <v>245</v>
      </c>
      <c r="S77" s="104">
        <f>SUM(S19,S11,S9,S25,S26,S27,S47:S51,S57,S59:S64)</f>
        <v>11883.629999999997</v>
      </c>
      <c r="T77" s="104">
        <f t="shared" ref="T77:AB77" si="72">SUM(T19,T11,T9,T25,T26,T27,T47:T51,T57,T59:T64)</f>
        <v>8952.5700000000015</v>
      </c>
      <c r="U77" s="104">
        <f t="shared" si="72"/>
        <v>8926.630000000001</v>
      </c>
      <c r="V77" s="104">
        <f t="shared" si="72"/>
        <v>10454.560000000001</v>
      </c>
      <c r="W77" s="104">
        <f t="shared" si="72"/>
        <v>8790.75</v>
      </c>
      <c r="X77" s="237">
        <f t="shared" si="72"/>
        <v>15020.12</v>
      </c>
      <c r="Y77" s="237">
        <f t="shared" si="72"/>
        <v>8951.2100000000009</v>
      </c>
      <c r="Z77" s="237">
        <f t="shared" si="72"/>
        <v>9918.9500000000007</v>
      </c>
      <c r="AA77" s="237">
        <f>SUM(AA19,AA11,AA9,AA25,AA26,AA27,AA47:AA51,AA57,AA59:AA64)</f>
        <v>8725.2100000000028</v>
      </c>
      <c r="AB77" s="104">
        <f t="shared" si="72"/>
        <v>9270.0999999999985</v>
      </c>
      <c r="AC77" s="104">
        <f>SUM(AC19,AC11,AC9,AC25,AC26,AC27,AC47:AC51,AC57,AC59:AC64)</f>
        <v>9374.0000000000018</v>
      </c>
      <c r="AD77" s="104">
        <f>SUM(AD19,AD11,AD9,AD25,AD26,AD27,AD47:AD51,AD57,AD59:AD64)</f>
        <v>10400.769999999999</v>
      </c>
      <c r="AE77" s="103">
        <f>SUM(S77:AD77)</f>
        <v>120668.50000000001</v>
      </c>
      <c r="AH77" s="70"/>
      <c r="AI77" s="70"/>
      <c r="AJ77" s="104"/>
      <c r="AK77" s="105"/>
      <c r="AL77" s="71"/>
      <c r="AM77" s="104"/>
      <c r="AN77" s="105"/>
    </row>
    <row r="78" spans="1:40" ht="16" thickBot="1" x14ac:dyDescent="0.4">
      <c r="C78" s="151">
        <v>5336</v>
      </c>
      <c r="D78" s="151">
        <v>3659</v>
      </c>
      <c r="E78" s="151">
        <v>6908</v>
      </c>
      <c r="F78" s="151">
        <v>8937</v>
      </c>
      <c r="G78" s="151">
        <v>7640</v>
      </c>
      <c r="H78" s="169">
        <v>9396</v>
      </c>
      <c r="I78" s="169">
        <v>4750</v>
      </c>
      <c r="J78" s="169">
        <v>7931</v>
      </c>
      <c r="K78" s="169">
        <v>9637</v>
      </c>
      <c r="L78" s="151">
        <v>9737</v>
      </c>
      <c r="M78" s="88">
        <v>10077</v>
      </c>
      <c r="N78" s="88">
        <v>6180</v>
      </c>
      <c r="O78" s="100">
        <v>90188</v>
      </c>
      <c r="Q78" s="296" t="s">
        <v>57</v>
      </c>
      <c r="R78" s="297"/>
      <c r="S78" s="276">
        <f>SUM(S76:S77)</f>
        <v>63900.7</v>
      </c>
      <c r="T78" s="276">
        <f>SUM(T76:T77)</f>
        <v>57030.55</v>
      </c>
      <c r="U78" s="276">
        <f>SUM(U76:U77)</f>
        <v>70266.7</v>
      </c>
      <c r="V78" s="276">
        <f>SUM(V76:V77)</f>
        <v>103672.84</v>
      </c>
      <c r="W78" s="276">
        <f>SUM(W76:W77)</f>
        <v>80458.63</v>
      </c>
      <c r="X78" s="277">
        <f t="shared" ref="X78" si="73">SUM(X76:X77)</f>
        <v>113839.48</v>
      </c>
      <c r="Y78" s="277">
        <f>SUM(Y76:Y77)</f>
        <v>47481.58</v>
      </c>
      <c r="Z78" s="277">
        <f t="shared" ref="Z78:AC78" si="74">SUM(Z76:Z77)</f>
        <v>81382.819999999992</v>
      </c>
      <c r="AA78" s="277">
        <f>SUM(AA76:AA77)</f>
        <v>112594.64</v>
      </c>
      <c r="AB78" s="276">
        <f>SUM(AB76:AB77)</f>
        <v>104092.73000000001</v>
      </c>
      <c r="AC78" s="276">
        <f t="shared" si="74"/>
        <v>91868</v>
      </c>
      <c r="AD78" s="276">
        <f>SUM(AD76:AD77)</f>
        <v>65390.85</v>
      </c>
      <c r="AE78" s="278">
        <f>SUM(S78:AD78)</f>
        <v>991979.5199999999</v>
      </c>
      <c r="AH78" s="238"/>
      <c r="AI78" s="70"/>
      <c r="AJ78" s="104"/>
      <c r="AK78" s="105"/>
      <c r="AL78" s="71"/>
      <c r="AM78" s="104"/>
      <c r="AN78" s="105"/>
    </row>
    <row r="79" spans="1:40" x14ac:dyDescent="0.35">
      <c r="Q79" s="298" t="s">
        <v>246</v>
      </c>
      <c r="R79" s="299"/>
      <c r="S79" s="300">
        <f t="shared" ref="S79:AC79" si="75">SUM(S20,S28:S36,S38:S44)</f>
        <v>24537.791590975685</v>
      </c>
      <c r="T79" s="300">
        <f t="shared" si="75"/>
        <v>26864.270413156846</v>
      </c>
      <c r="U79" s="300">
        <f t="shared" si="75"/>
        <v>46802.983012680372</v>
      </c>
      <c r="V79" s="300">
        <f t="shared" si="75"/>
        <v>71290.435453767117</v>
      </c>
      <c r="W79" s="300">
        <f t="shared" si="75"/>
        <v>55970.677310270272</v>
      </c>
      <c r="X79" s="148">
        <f t="shared" si="75"/>
        <v>77701.279233349313</v>
      </c>
      <c r="Y79" s="148">
        <f t="shared" si="75"/>
        <v>32388.194516998348</v>
      </c>
      <c r="Z79" s="148">
        <f t="shared" si="75"/>
        <v>58327.129191176464</v>
      </c>
      <c r="AA79" s="148">
        <f t="shared" si="75"/>
        <v>86539.577898627234</v>
      </c>
      <c r="AB79" s="300">
        <f t="shared" si="75"/>
        <v>67159.085922671366</v>
      </c>
      <c r="AC79" s="300">
        <f t="shared" si="75"/>
        <v>61895.656745547698</v>
      </c>
      <c r="AD79" s="300">
        <f>SUM(AD20,AD28:AD36,AD38:AD44)</f>
        <v>20554.414527617475</v>
      </c>
      <c r="AE79" s="103">
        <f>SUM(S79:AD79)</f>
        <v>630031.49581683823</v>
      </c>
      <c r="AH79" s="301"/>
      <c r="AI79" s="302"/>
      <c r="AJ79" s="143"/>
      <c r="AK79" s="105"/>
      <c r="AL79" s="71"/>
      <c r="AM79" s="104"/>
    </row>
    <row r="80" spans="1:40" x14ac:dyDescent="0.35">
      <c r="A80" s="303" t="s">
        <v>238</v>
      </c>
      <c r="B80" s="304"/>
      <c r="C80" s="151">
        <v>-668</v>
      </c>
      <c r="D80" s="151">
        <v>731</v>
      </c>
      <c r="E80" s="151">
        <v>-115</v>
      </c>
      <c r="F80" s="151">
        <v>-1839</v>
      </c>
      <c r="G80" s="151">
        <v>1422</v>
      </c>
      <c r="H80" s="169">
        <v>21</v>
      </c>
      <c r="I80" s="265">
        <v>1405</v>
      </c>
      <c r="J80" s="267">
        <v>-648</v>
      </c>
      <c r="K80" s="267">
        <v>-70</v>
      </c>
      <c r="L80" s="105">
        <v>932</v>
      </c>
      <c r="M80" s="305">
        <v>-4137</v>
      </c>
      <c r="N80" s="88">
        <v>2575</v>
      </c>
      <c r="O80" s="306">
        <v>-32.583333333333336</v>
      </c>
      <c r="Q80" s="233" t="s">
        <v>247</v>
      </c>
      <c r="S80" s="93">
        <v>6010.1</v>
      </c>
      <c r="T80" s="93">
        <v>5533.78</v>
      </c>
      <c r="U80" s="93">
        <v>6015.48</v>
      </c>
      <c r="V80" s="93">
        <v>5658.89</v>
      </c>
      <c r="W80" s="93">
        <v>6010.1</v>
      </c>
      <c r="X80" s="244">
        <v>6010.1</v>
      </c>
      <c r="Y80" s="244">
        <v>6004.73</v>
      </c>
      <c r="Z80" s="244">
        <v>6010.05</v>
      </c>
      <c r="AA80" s="244">
        <v>5518.99</v>
      </c>
      <c r="AB80" s="93">
        <v>6009.59</v>
      </c>
      <c r="AC80" s="104">
        <v>5644.63</v>
      </c>
      <c r="AD80" s="264">
        <v>5701.48</v>
      </c>
      <c r="AE80" s="159">
        <f>SUM(S80:AD80)</f>
        <v>70127.92</v>
      </c>
      <c r="AH80" s="238"/>
      <c r="AI80" s="70"/>
      <c r="AJ80" s="104"/>
      <c r="AK80" s="105"/>
      <c r="AL80" s="71"/>
      <c r="AM80" s="104"/>
    </row>
    <row r="81" spans="1:40" x14ac:dyDescent="0.35">
      <c r="A81" s="279" t="s">
        <v>248</v>
      </c>
      <c r="B81" s="279"/>
      <c r="C81" s="252">
        <v>3173</v>
      </c>
      <c r="D81" s="252">
        <v>4041</v>
      </c>
      <c r="E81" s="252">
        <v>7139</v>
      </c>
      <c r="F81" s="252">
        <v>7353</v>
      </c>
      <c r="G81" s="252">
        <v>8276</v>
      </c>
      <c r="H81" s="280">
        <v>8132</v>
      </c>
      <c r="I81" s="280">
        <v>5783</v>
      </c>
      <c r="J81" s="280">
        <v>7327</v>
      </c>
      <c r="K81" s="280">
        <v>9409</v>
      </c>
      <c r="L81" s="252">
        <v>10789</v>
      </c>
      <c r="M81" s="252">
        <v>6154</v>
      </c>
      <c r="N81" s="252">
        <v>7526</v>
      </c>
      <c r="O81" s="254">
        <v>85102</v>
      </c>
      <c r="AC81" s="70"/>
      <c r="AD81" s="70"/>
      <c r="AE81" s="307"/>
      <c r="AH81" s="70"/>
      <c r="AI81" s="70"/>
      <c r="AJ81" s="104"/>
      <c r="AK81" s="70"/>
      <c r="AL81" s="71"/>
    </row>
    <row r="82" spans="1:40" x14ac:dyDescent="0.35">
      <c r="A82" s="287" t="s">
        <v>249</v>
      </c>
      <c r="B82" s="308"/>
      <c r="C82" s="257">
        <v>3841</v>
      </c>
      <c r="D82" s="257">
        <v>3310</v>
      </c>
      <c r="E82" s="257">
        <v>7254</v>
      </c>
      <c r="F82" s="257">
        <v>9192</v>
      </c>
      <c r="G82" s="257">
        <v>6854</v>
      </c>
      <c r="H82" s="309">
        <v>8111</v>
      </c>
      <c r="I82" s="288">
        <v>4378</v>
      </c>
      <c r="J82" s="288">
        <v>7975</v>
      </c>
      <c r="K82" s="288">
        <v>9479</v>
      </c>
      <c r="L82" s="257">
        <v>9857</v>
      </c>
      <c r="M82" s="289">
        <v>10291</v>
      </c>
      <c r="N82" s="289">
        <v>4951</v>
      </c>
      <c r="O82" s="260">
        <v>85493</v>
      </c>
      <c r="Q82" s="67" t="s">
        <v>241</v>
      </c>
      <c r="S82" s="93">
        <v>35125.879999999997</v>
      </c>
      <c r="T82" s="93">
        <v>26373.879999999997</v>
      </c>
      <c r="U82" s="93">
        <v>67249.040000000008</v>
      </c>
      <c r="V82" s="93">
        <v>90474.439999999988</v>
      </c>
      <c r="W82" s="93">
        <v>74762.039999999994</v>
      </c>
      <c r="X82" s="244">
        <v>96090.080000000016</v>
      </c>
      <c r="Y82" s="244">
        <v>44007.44</v>
      </c>
      <c r="Z82" s="244">
        <v>76679.159999999989</v>
      </c>
      <c r="AA82" s="244">
        <v>97478.52</v>
      </c>
      <c r="AB82" s="93">
        <v>87829.6</v>
      </c>
      <c r="AC82" s="93">
        <v>87439.349999999991</v>
      </c>
      <c r="AD82" s="93">
        <v>44447.910000000011</v>
      </c>
      <c r="AE82" s="310">
        <f t="shared" ref="AE82:AE87" si="76">SUM(S82:AD82)</f>
        <v>827957.34</v>
      </c>
      <c r="AH82" s="70"/>
      <c r="AI82" s="70"/>
      <c r="AJ82" s="104"/>
      <c r="AK82" s="105"/>
      <c r="AL82" s="71"/>
      <c r="AM82" s="104"/>
      <c r="AN82" s="105"/>
    </row>
    <row r="83" spans="1:40" x14ac:dyDescent="0.35">
      <c r="A83" s="294" t="s">
        <v>250</v>
      </c>
      <c r="B83" s="304"/>
      <c r="C83" s="261">
        <v>937</v>
      </c>
      <c r="D83" s="261">
        <v>1123</v>
      </c>
      <c r="E83" s="261">
        <v>776</v>
      </c>
      <c r="F83" s="261">
        <v>1664</v>
      </c>
      <c r="G83" s="261">
        <v>1415</v>
      </c>
      <c r="H83" s="311">
        <v>1316</v>
      </c>
      <c r="I83" s="295">
        <v>1335</v>
      </c>
      <c r="J83" s="295">
        <v>1544</v>
      </c>
      <c r="K83" s="295">
        <v>1155</v>
      </c>
      <c r="L83" s="147">
        <v>973</v>
      </c>
      <c r="M83" s="147">
        <v>1537</v>
      </c>
      <c r="N83" s="147">
        <v>1213</v>
      </c>
      <c r="O83" s="190">
        <v>14988</v>
      </c>
      <c r="Q83" s="67" t="s">
        <v>251</v>
      </c>
      <c r="S83" s="93">
        <v>35125.879999999997</v>
      </c>
      <c r="T83" s="93">
        <v>26373.88</v>
      </c>
      <c r="U83" s="93">
        <v>67249.039999999994</v>
      </c>
      <c r="V83" s="93">
        <v>90474.44</v>
      </c>
      <c r="W83" s="93">
        <v>74762.039999999994</v>
      </c>
      <c r="X83" s="244">
        <v>96090.08</v>
      </c>
      <c r="Y83" s="244">
        <v>44007.44</v>
      </c>
      <c r="Z83" s="244">
        <v>76679.16</v>
      </c>
      <c r="AA83" s="244">
        <v>97478.52</v>
      </c>
      <c r="AB83" s="93">
        <v>87829.6</v>
      </c>
      <c r="AC83" s="93">
        <v>87439.35</v>
      </c>
      <c r="AD83" s="93">
        <v>44447.91</v>
      </c>
      <c r="AE83" s="310">
        <f t="shared" si="76"/>
        <v>827957.34</v>
      </c>
      <c r="AF83" s="93"/>
      <c r="AH83" s="70"/>
      <c r="AI83" s="70"/>
      <c r="AJ83" s="104"/>
      <c r="AK83" s="105"/>
      <c r="AL83" s="71"/>
      <c r="AM83" s="104"/>
      <c r="AN83" s="105"/>
    </row>
    <row r="84" spans="1:40" ht="16" thickBot="1" x14ac:dyDescent="0.4">
      <c r="A84" s="304"/>
      <c r="B84" s="304"/>
      <c r="C84" s="151">
        <v>4778</v>
      </c>
      <c r="D84" s="151">
        <v>4433</v>
      </c>
      <c r="E84" s="151">
        <v>8030</v>
      </c>
      <c r="F84" s="151">
        <v>10856</v>
      </c>
      <c r="G84" s="151">
        <v>8269</v>
      </c>
      <c r="H84" s="167">
        <v>9427</v>
      </c>
      <c r="I84" s="169">
        <v>5713</v>
      </c>
      <c r="J84" s="169">
        <v>9519</v>
      </c>
      <c r="K84" s="169">
        <v>10634</v>
      </c>
      <c r="L84" s="151">
        <v>10830</v>
      </c>
      <c r="M84" s="88">
        <v>11828</v>
      </c>
      <c r="N84" s="88">
        <v>6164</v>
      </c>
      <c r="O84" s="100">
        <v>100481</v>
      </c>
      <c r="Q84" s="67" t="s">
        <v>245</v>
      </c>
      <c r="S84" s="93">
        <v>7538.3699999999981</v>
      </c>
      <c r="T84" s="93">
        <v>9548.5300000000007</v>
      </c>
      <c r="U84" s="93">
        <v>11798.089999999997</v>
      </c>
      <c r="V84" s="93">
        <v>10936.789999999999</v>
      </c>
      <c r="W84" s="93">
        <v>12765.96</v>
      </c>
      <c r="X84" s="244">
        <v>10522.949999999999</v>
      </c>
      <c r="Y84" s="244">
        <v>10975.110000000002</v>
      </c>
      <c r="Z84" s="244">
        <v>13892.35</v>
      </c>
      <c r="AA84" s="244">
        <v>11836.350000000002</v>
      </c>
      <c r="AB84" s="93">
        <v>11902.949999999999</v>
      </c>
      <c r="AC84" s="93">
        <v>14182.299999999997</v>
      </c>
      <c r="AD84" s="93">
        <v>12417.350000000002</v>
      </c>
      <c r="AE84" s="310">
        <f t="shared" si="76"/>
        <v>138317.1</v>
      </c>
      <c r="AH84" s="238"/>
      <c r="AI84" s="70"/>
      <c r="AJ84" s="104"/>
      <c r="AK84" s="105"/>
      <c r="AL84" s="71"/>
      <c r="AM84" s="104"/>
      <c r="AN84" s="105"/>
    </row>
    <row r="85" spans="1:40" ht="16" thickBot="1" x14ac:dyDescent="0.4">
      <c r="O85" s="89"/>
      <c r="Q85" s="233" t="s">
        <v>57</v>
      </c>
      <c r="S85" s="312">
        <v>42664.249999999993</v>
      </c>
      <c r="T85" s="312">
        <v>35922.410000000003</v>
      </c>
      <c r="U85" s="312">
        <v>79047.12999999999</v>
      </c>
      <c r="V85" s="312">
        <v>101411.23</v>
      </c>
      <c r="W85" s="312">
        <v>87528</v>
      </c>
      <c r="X85" s="313">
        <v>106613.03</v>
      </c>
      <c r="Y85" s="313">
        <v>54982.55</v>
      </c>
      <c r="Z85" s="313">
        <v>90571.510000000009</v>
      </c>
      <c r="AA85" s="313">
        <v>109314.87000000001</v>
      </c>
      <c r="AB85" s="312">
        <v>99732.55</v>
      </c>
      <c r="AC85" s="312">
        <v>101621.65000000001</v>
      </c>
      <c r="AD85" s="312">
        <v>56865.260000000009</v>
      </c>
      <c r="AE85" s="104">
        <f t="shared" si="76"/>
        <v>966274.44</v>
      </c>
      <c r="AH85" s="301"/>
      <c r="AI85" s="302"/>
      <c r="AJ85" s="314"/>
      <c r="AK85" s="314"/>
      <c r="AL85" s="71"/>
      <c r="AM85" s="314"/>
      <c r="AN85" s="314"/>
    </row>
    <row r="86" spans="1:40" x14ac:dyDescent="0.35">
      <c r="A86" s="315" t="s">
        <v>252</v>
      </c>
      <c r="B86" s="315"/>
      <c r="C86" s="316">
        <v>5700</v>
      </c>
      <c r="D86" s="316">
        <v>7900</v>
      </c>
      <c r="E86" s="316">
        <v>8900</v>
      </c>
      <c r="F86" s="316">
        <v>11785</v>
      </c>
      <c r="G86" s="316">
        <v>6857</v>
      </c>
      <c r="H86" s="317">
        <v>8687</v>
      </c>
      <c r="I86" s="318">
        <v>2059</v>
      </c>
      <c r="J86" s="318">
        <v>7754</v>
      </c>
      <c r="K86" s="182">
        <v>8783</v>
      </c>
      <c r="L86" s="88">
        <v>8282</v>
      </c>
      <c r="M86" s="88">
        <v>7463</v>
      </c>
      <c r="N86" s="88">
        <v>6323</v>
      </c>
      <c r="O86" s="100">
        <f>SUM(C86:N86)</f>
        <v>90493</v>
      </c>
      <c r="Q86" s="298" t="s">
        <v>246</v>
      </c>
      <c r="R86" s="319"/>
      <c r="S86" s="300">
        <v>14301.116468062262</v>
      </c>
      <c r="T86" s="300">
        <v>12151.091640211642</v>
      </c>
      <c r="U86" s="300">
        <v>47834.450338372924</v>
      </c>
      <c r="V86" s="300">
        <v>72445.378189167328</v>
      </c>
      <c r="W86" s="300">
        <v>57595.381896838604</v>
      </c>
      <c r="X86" s="148">
        <v>70641.283269509266</v>
      </c>
      <c r="Y86" s="148">
        <v>29618.441672703324</v>
      </c>
      <c r="Z86" s="148">
        <v>64404.372311377258</v>
      </c>
      <c r="AA86" s="148">
        <v>78428.109544796534</v>
      </c>
      <c r="AB86" s="300">
        <v>69774.037630662031</v>
      </c>
      <c r="AC86" s="300">
        <v>63557.464602555003</v>
      </c>
      <c r="AD86" s="300">
        <v>31857.72561464415</v>
      </c>
      <c r="AE86" s="320">
        <f t="shared" si="76"/>
        <v>612608.8531789002</v>
      </c>
      <c r="AH86" s="238"/>
      <c r="AI86" s="70"/>
      <c r="AJ86" s="70"/>
      <c r="AK86" s="70"/>
      <c r="AL86" s="71"/>
      <c r="AM86" s="104"/>
    </row>
    <row r="87" spans="1:40" x14ac:dyDescent="0.35">
      <c r="A87" s="315" t="s">
        <v>253</v>
      </c>
      <c r="B87" s="315"/>
      <c r="C87" s="321">
        <v>5599</v>
      </c>
      <c r="D87" s="321">
        <v>2922</v>
      </c>
      <c r="E87" s="321">
        <v>8900</v>
      </c>
      <c r="F87" s="321">
        <v>7663</v>
      </c>
      <c r="G87" s="321">
        <v>6464</v>
      </c>
      <c r="H87" s="318">
        <v>8274</v>
      </c>
      <c r="I87" s="322">
        <v>2805</v>
      </c>
      <c r="J87" s="322">
        <v>6955</v>
      </c>
      <c r="K87" s="322">
        <v>8991</v>
      </c>
      <c r="L87" s="323">
        <v>9795</v>
      </c>
      <c r="M87" s="324">
        <v>8272</v>
      </c>
      <c r="N87" s="324">
        <v>6971</v>
      </c>
      <c r="O87" s="154">
        <f>SUM(C87:N87)</f>
        <v>83611</v>
      </c>
      <c r="Q87" s="233" t="s">
        <v>247</v>
      </c>
      <c r="S87" s="93">
        <v>5622.64</v>
      </c>
      <c r="T87" s="93">
        <v>6013.98</v>
      </c>
      <c r="U87" s="93">
        <v>5617.63</v>
      </c>
      <c r="V87" s="93">
        <v>6190.48</v>
      </c>
      <c r="W87" s="93">
        <v>5522.61</v>
      </c>
      <c r="X87" s="244">
        <v>5792.34</v>
      </c>
      <c r="Y87" s="244">
        <v>5522.61</v>
      </c>
      <c r="Z87" s="244">
        <v>5528.77</v>
      </c>
      <c r="AA87" s="244">
        <v>5518.99</v>
      </c>
      <c r="AB87" s="93">
        <v>5518.99</v>
      </c>
      <c r="AC87" s="93">
        <v>5256.84</v>
      </c>
      <c r="AD87" s="93">
        <v>5253.72</v>
      </c>
      <c r="AE87" s="310">
        <f t="shared" si="76"/>
        <v>67359.599999999991</v>
      </c>
      <c r="AH87" s="70"/>
      <c r="AI87" s="70"/>
      <c r="AJ87" s="70"/>
      <c r="AK87" s="70"/>
      <c r="AL87" s="71"/>
    </row>
    <row r="88" spans="1:40" x14ac:dyDescent="0.35">
      <c r="A88" s="294" t="s">
        <v>254</v>
      </c>
      <c r="B88" s="315"/>
      <c r="C88" s="316">
        <v>741</v>
      </c>
      <c r="D88" s="147">
        <v>733</v>
      </c>
      <c r="E88" s="147">
        <v>1086</v>
      </c>
      <c r="F88" s="147">
        <v>673</v>
      </c>
      <c r="G88" s="147">
        <v>834</v>
      </c>
      <c r="H88" s="295">
        <v>1164</v>
      </c>
      <c r="I88" s="295">
        <v>603</v>
      </c>
      <c r="J88" s="295">
        <v>839</v>
      </c>
      <c r="K88" s="295">
        <v>749</v>
      </c>
      <c r="L88" s="147">
        <v>1080</v>
      </c>
      <c r="M88" s="147">
        <v>1361</v>
      </c>
      <c r="N88" s="147">
        <v>1144</v>
      </c>
      <c r="O88" s="190">
        <f>SUM(C88:N88)</f>
        <v>11007</v>
      </c>
      <c r="AE88" s="307"/>
      <c r="AH88" s="70"/>
      <c r="AI88" s="70"/>
      <c r="AJ88" s="70"/>
      <c r="AK88" s="70"/>
      <c r="AL88" s="71"/>
    </row>
    <row r="89" spans="1:40" x14ac:dyDescent="0.35">
      <c r="A89" s="303"/>
      <c r="B89" s="303"/>
      <c r="C89" s="105">
        <f t="shared" ref="C89:N89" si="77">SUM(C87:C88)</f>
        <v>6340</v>
      </c>
      <c r="D89" s="105">
        <f t="shared" si="77"/>
        <v>3655</v>
      </c>
      <c r="E89" s="105">
        <f t="shared" si="77"/>
        <v>9986</v>
      </c>
      <c r="F89" s="105">
        <f t="shared" si="77"/>
        <v>8336</v>
      </c>
      <c r="G89" s="105">
        <f t="shared" si="77"/>
        <v>7298</v>
      </c>
      <c r="H89" s="267">
        <f t="shared" si="77"/>
        <v>9438</v>
      </c>
      <c r="I89" s="267">
        <f t="shared" si="77"/>
        <v>3408</v>
      </c>
      <c r="J89" s="267">
        <f t="shared" si="77"/>
        <v>7794</v>
      </c>
      <c r="K89" s="267">
        <f t="shared" si="77"/>
        <v>9740</v>
      </c>
      <c r="L89" s="105">
        <f t="shared" si="77"/>
        <v>10875</v>
      </c>
      <c r="M89" s="105">
        <f t="shared" si="77"/>
        <v>9633</v>
      </c>
      <c r="N89" s="88">
        <f t="shared" si="77"/>
        <v>8115</v>
      </c>
      <c r="O89" s="100">
        <f>SUM(C89:N89)</f>
        <v>94618</v>
      </c>
      <c r="Q89" s="67" t="s">
        <v>241</v>
      </c>
      <c r="AE89" s="307"/>
      <c r="AH89" s="70"/>
      <c r="AI89" s="70"/>
      <c r="AJ89" s="70"/>
      <c r="AK89" s="70"/>
      <c r="AL89" s="71"/>
    </row>
    <row r="90" spans="1:40" x14ac:dyDescent="0.35">
      <c r="A90" s="325"/>
      <c r="B90" s="325"/>
      <c r="C90" s="66" t="s">
        <v>138</v>
      </c>
      <c r="D90" s="66" t="s">
        <v>138</v>
      </c>
      <c r="E90" s="66" t="s">
        <v>138</v>
      </c>
      <c r="F90" s="66" t="s">
        <v>138</v>
      </c>
      <c r="G90" s="66" t="s">
        <v>138</v>
      </c>
      <c r="H90" s="326" t="s">
        <v>138</v>
      </c>
      <c r="I90" s="326" t="s">
        <v>138</v>
      </c>
      <c r="J90" s="326" t="s">
        <v>138</v>
      </c>
      <c r="K90" s="326" t="s">
        <v>138</v>
      </c>
      <c r="L90" s="327" t="s">
        <v>138</v>
      </c>
      <c r="M90" s="327" t="s">
        <v>138</v>
      </c>
      <c r="N90" s="327" t="s">
        <v>138</v>
      </c>
      <c r="O90" s="89"/>
      <c r="Q90" s="67" t="s">
        <v>255</v>
      </c>
      <c r="AE90" s="307"/>
    </row>
    <row r="91" spans="1:40" x14ac:dyDescent="0.35">
      <c r="A91" s="325" t="s">
        <v>256</v>
      </c>
      <c r="B91" s="325"/>
      <c r="C91" s="80" t="s">
        <v>257</v>
      </c>
      <c r="D91" s="80" t="s">
        <v>258</v>
      </c>
      <c r="E91" s="80" t="s">
        <v>259</v>
      </c>
      <c r="F91" s="80" t="s">
        <v>260</v>
      </c>
      <c r="G91" s="80" t="s">
        <v>261</v>
      </c>
      <c r="H91" s="329" t="s">
        <v>262</v>
      </c>
      <c r="I91" s="329" t="s">
        <v>146</v>
      </c>
      <c r="J91" s="329" t="s">
        <v>147</v>
      </c>
      <c r="K91" s="329" t="s">
        <v>148</v>
      </c>
      <c r="L91" s="330" t="s">
        <v>149</v>
      </c>
      <c r="M91" s="330" t="s">
        <v>150</v>
      </c>
      <c r="N91" s="330" t="s">
        <v>151</v>
      </c>
      <c r="O91" s="89"/>
      <c r="Q91" s="67" t="s">
        <v>245</v>
      </c>
      <c r="AE91" s="307"/>
    </row>
    <row r="92" spans="1:40" x14ac:dyDescent="0.35">
      <c r="A92" s="331" t="s">
        <v>263</v>
      </c>
      <c r="B92" s="325"/>
      <c r="C92" s="105"/>
      <c r="D92" s="105"/>
      <c r="E92" s="105"/>
      <c r="F92" s="105"/>
      <c r="G92" s="105"/>
      <c r="H92" s="332"/>
      <c r="I92" s="332"/>
      <c r="J92" s="333"/>
      <c r="K92" s="333"/>
      <c r="L92" s="334"/>
      <c r="M92" s="335"/>
      <c r="N92" s="335"/>
      <c r="O92" s="89"/>
      <c r="Q92" s="233" t="s">
        <v>57</v>
      </c>
      <c r="AE92" s="307"/>
    </row>
    <row r="93" spans="1:40" x14ac:dyDescent="0.35">
      <c r="A93" s="325" t="s">
        <v>264</v>
      </c>
      <c r="B93" s="325"/>
      <c r="C93" s="336">
        <v>34</v>
      </c>
      <c r="D93" s="105">
        <v>28</v>
      </c>
      <c r="E93" s="105">
        <v>19</v>
      </c>
      <c r="F93" s="137">
        <v>68</v>
      </c>
      <c r="G93" s="137">
        <v>19</v>
      </c>
      <c r="H93" s="332">
        <v>16</v>
      </c>
      <c r="I93" s="332">
        <v>24</v>
      </c>
      <c r="J93" s="333">
        <v>17</v>
      </c>
      <c r="K93" s="333">
        <v>22</v>
      </c>
      <c r="L93" s="334">
        <v>24</v>
      </c>
      <c r="M93" s="335">
        <v>37</v>
      </c>
      <c r="N93" s="335"/>
      <c r="O93" s="100">
        <f t="shared" ref="O93:O105" si="78">SUM(C93:N93)</f>
        <v>308</v>
      </c>
      <c r="Q93" s="298" t="s">
        <v>246</v>
      </c>
      <c r="R93" s="319"/>
      <c r="S93" s="319"/>
      <c r="T93" s="319"/>
      <c r="U93" s="319"/>
      <c r="V93" s="319"/>
      <c r="W93" s="319"/>
      <c r="X93" s="337"/>
      <c r="Y93" s="337"/>
      <c r="Z93" s="337"/>
      <c r="AA93" s="338"/>
      <c r="AB93" s="339"/>
      <c r="AC93" s="319"/>
      <c r="AD93" s="319"/>
      <c r="AE93" s="340"/>
    </row>
    <row r="94" spans="1:40" x14ac:dyDescent="0.35">
      <c r="A94" s="325" t="s">
        <v>265</v>
      </c>
      <c r="B94" s="325"/>
      <c r="C94" s="336">
        <v>142</v>
      </c>
      <c r="D94" s="105">
        <v>116</v>
      </c>
      <c r="E94" s="105">
        <v>10</v>
      </c>
      <c r="F94" s="137">
        <v>0</v>
      </c>
      <c r="G94" s="137">
        <v>0</v>
      </c>
      <c r="H94" s="332">
        <v>0</v>
      </c>
      <c r="I94" s="332">
        <v>0</v>
      </c>
      <c r="J94" s="333">
        <v>0</v>
      </c>
      <c r="K94" s="333">
        <v>0</v>
      </c>
      <c r="L94" s="334">
        <v>83</v>
      </c>
      <c r="M94" s="335">
        <v>317</v>
      </c>
      <c r="N94" s="335"/>
      <c r="O94" s="100">
        <f t="shared" si="78"/>
        <v>668</v>
      </c>
      <c r="Q94" s="233" t="s">
        <v>247</v>
      </c>
      <c r="AE94" s="307"/>
    </row>
    <row r="95" spans="1:40" x14ac:dyDescent="0.35">
      <c r="A95" s="325" t="s">
        <v>266</v>
      </c>
      <c r="B95" s="325"/>
      <c r="C95" s="336">
        <v>0</v>
      </c>
      <c r="D95" s="105">
        <v>0</v>
      </c>
      <c r="E95" s="105">
        <v>0</v>
      </c>
      <c r="F95" s="137">
        <v>0</v>
      </c>
      <c r="G95" s="137">
        <v>0</v>
      </c>
      <c r="H95" s="332">
        <v>0</v>
      </c>
      <c r="I95" s="332">
        <v>0</v>
      </c>
      <c r="J95" s="333">
        <v>0</v>
      </c>
      <c r="K95" s="333">
        <v>0</v>
      </c>
      <c r="L95" s="334">
        <v>0</v>
      </c>
      <c r="M95" s="335">
        <v>0</v>
      </c>
      <c r="N95" s="335"/>
      <c r="O95" s="100">
        <f t="shared" si="78"/>
        <v>0</v>
      </c>
      <c r="AE95" s="307"/>
      <c r="AF95" s="70"/>
    </row>
    <row r="96" spans="1:40" x14ac:dyDescent="0.35">
      <c r="A96" s="325" t="s">
        <v>267</v>
      </c>
      <c r="B96" s="325"/>
      <c r="C96" s="336">
        <v>20</v>
      </c>
      <c r="D96" s="105">
        <v>0</v>
      </c>
      <c r="E96" s="105">
        <v>0</v>
      </c>
      <c r="F96" s="137">
        <v>0</v>
      </c>
      <c r="G96" s="137">
        <v>0</v>
      </c>
      <c r="H96" s="332">
        <v>0</v>
      </c>
      <c r="I96" s="332">
        <v>0</v>
      </c>
      <c r="J96" s="333">
        <v>0</v>
      </c>
      <c r="K96" s="333">
        <v>0</v>
      </c>
      <c r="L96" s="334">
        <v>0</v>
      </c>
      <c r="M96" s="335">
        <v>304</v>
      </c>
      <c r="N96" s="335"/>
      <c r="O96" s="100">
        <f t="shared" si="78"/>
        <v>324</v>
      </c>
      <c r="Q96" s="67" t="s">
        <v>241</v>
      </c>
      <c r="S96" s="104">
        <v>53584.690000000039</v>
      </c>
      <c r="T96" s="104">
        <v>29740.980000000007</v>
      </c>
      <c r="U96" s="104">
        <v>63539.370000000017</v>
      </c>
      <c r="V96" s="104">
        <v>82776.460000000006</v>
      </c>
      <c r="W96" s="104">
        <v>70306.080000000002</v>
      </c>
      <c r="X96" s="237">
        <v>89605.959999999977</v>
      </c>
      <c r="Y96" s="237">
        <v>31433.069999999996</v>
      </c>
      <c r="Z96" s="341">
        <v>74626.69</v>
      </c>
      <c r="AA96" s="341">
        <v>97067.010000000009</v>
      </c>
      <c r="AB96" s="342">
        <v>88982.039999999979</v>
      </c>
      <c r="AC96" s="342">
        <v>82525.180000000008</v>
      </c>
      <c r="AD96" s="104">
        <v>67186.14</v>
      </c>
      <c r="AE96" s="310">
        <f t="shared" ref="AE96:AE101" si="79">SUM(S96:AD96)</f>
        <v>831373.67000000016</v>
      </c>
      <c r="AF96" s="70"/>
    </row>
    <row r="97" spans="1:32" x14ac:dyDescent="0.35">
      <c r="A97" s="325" t="s">
        <v>268</v>
      </c>
      <c r="B97" s="325"/>
      <c r="C97" s="336">
        <v>0</v>
      </c>
      <c r="D97" s="105">
        <v>0</v>
      </c>
      <c r="E97" s="105">
        <v>2</v>
      </c>
      <c r="F97" s="137">
        <v>0</v>
      </c>
      <c r="G97" s="137">
        <v>0</v>
      </c>
      <c r="H97" s="332">
        <v>0</v>
      </c>
      <c r="I97" s="332">
        <v>0</v>
      </c>
      <c r="J97" s="333">
        <v>0</v>
      </c>
      <c r="K97" s="333">
        <v>0</v>
      </c>
      <c r="L97" s="334">
        <v>0</v>
      </c>
      <c r="M97" s="335">
        <v>0</v>
      </c>
      <c r="N97" s="335"/>
      <c r="O97" s="100">
        <f t="shared" si="78"/>
        <v>2</v>
      </c>
      <c r="Q97" s="67" t="s">
        <v>269</v>
      </c>
      <c r="S97" s="158">
        <v>53584.69</v>
      </c>
      <c r="T97" s="158">
        <v>29740.98</v>
      </c>
      <c r="U97" s="158">
        <v>63539.37</v>
      </c>
      <c r="V97" s="158">
        <v>82776.460000000006</v>
      </c>
      <c r="W97" s="158">
        <v>70306.080000000002</v>
      </c>
      <c r="X97" s="242">
        <v>89605.96</v>
      </c>
      <c r="Y97" s="242">
        <v>31433.07</v>
      </c>
      <c r="Z97" s="244">
        <v>74626.69</v>
      </c>
      <c r="AA97" s="244">
        <v>97067.01</v>
      </c>
      <c r="AB97" s="93">
        <v>88982.04</v>
      </c>
      <c r="AC97" s="104">
        <v>82525.179999999993</v>
      </c>
      <c r="AD97" s="158">
        <v>67186.14</v>
      </c>
      <c r="AE97" s="343">
        <f t="shared" si="79"/>
        <v>831373.67</v>
      </c>
      <c r="AF97" s="70"/>
    </row>
    <row r="98" spans="1:32" x14ac:dyDescent="0.35">
      <c r="A98" s="344" t="s">
        <v>270</v>
      </c>
      <c r="B98" s="344"/>
      <c r="C98" s="336">
        <v>0</v>
      </c>
      <c r="D98" s="345">
        <v>763</v>
      </c>
      <c r="E98" s="345">
        <v>45</v>
      </c>
      <c r="F98" s="137">
        <v>0</v>
      </c>
      <c r="G98" s="137">
        <v>0</v>
      </c>
      <c r="H98" s="346">
        <v>0</v>
      </c>
      <c r="I98" s="346">
        <v>0</v>
      </c>
      <c r="J98" s="347">
        <v>0</v>
      </c>
      <c r="K98" s="347">
        <v>0</v>
      </c>
      <c r="L98" s="334">
        <v>38</v>
      </c>
      <c r="M98" s="335">
        <v>1450</v>
      </c>
      <c r="N98" s="335"/>
      <c r="O98" s="100">
        <f t="shared" si="78"/>
        <v>2296</v>
      </c>
      <c r="Q98" s="67" t="s">
        <v>245</v>
      </c>
      <c r="S98" s="342">
        <v>6183.08</v>
      </c>
      <c r="T98" s="342">
        <v>5856.36</v>
      </c>
      <c r="U98" s="342">
        <v>9596.68</v>
      </c>
      <c r="V98" s="342">
        <v>5347.6500000000005</v>
      </c>
      <c r="W98" s="342">
        <v>5894.31</v>
      </c>
      <c r="X98" s="341">
        <v>7715.82</v>
      </c>
      <c r="Y98" s="341">
        <v>4820.9399999999996</v>
      </c>
      <c r="Z98" s="341">
        <v>6063.7000000000007</v>
      </c>
      <c r="AA98" s="341">
        <v>6062.47</v>
      </c>
      <c r="AB98" s="342">
        <v>8479.7199999999993</v>
      </c>
      <c r="AC98" s="93">
        <v>11159.33</v>
      </c>
      <c r="AD98" s="104">
        <v>9782.1200000000008</v>
      </c>
      <c r="AE98" s="348">
        <f t="shared" si="79"/>
        <v>86962.180000000008</v>
      </c>
      <c r="AF98" s="70"/>
    </row>
    <row r="99" spans="1:32" x14ac:dyDescent="0.35">
      <c r="A99" s="344" t="s">
        <v>271</v>
      </c>
      <c r="B99" s="344"/>
      <c r="C99" s="336">
        <v>0</v>
      </c>
      <c r="D99" s="345">
        <v>0</v>
      </c>
      <c r="E99" s="345">
        <v>0</v>
      </c>
      <c r="F99" s="137">
        <v>0</v>
      </c>
      <c r="G99" s="137">
        <v>0</v>
      </c>
      <c r="H99" s="346">
        <v>0</v>
      </c>
      <c r="I99" s="346">
        <v>0</v>
      </c>
      <c r="J99" s="347">
        <v>0</v>
      </c>
      <c r="K99" s="347">
        <v>0</v>
      </c>
      <c r="L99" s="334">
        <v>0</v>
      </c>
      <c r="M99" s="335">
        <v>0</v>
      </c>
      <c r="N99" s="335">
        <v>0</v>
      </c>
      <c r="O99" s="100">
        <f t="shared" si="78"/>
        <v>0</v>
      </c>
      <c r="Q99" s="233" t="s">
        <v>57</v>
      </c>
      <c r="S99" s="93">
        <f t="shared" ref="S99:AD99" si="80">SUM(S97:S98)</f>
        <v>59767.770000000004</v>
      </c>
      <c r="T99" s="93">
        <f t="shared" si="80"/>
        <v>35597.339999999997</v>
      </c>
      <c r="U99" s="93">
        <f t="shared" si="80"/>
        <v>73136.05</v>
      </c>
      <c r="V99" s="93">
        <f t="shared" si="80"/>
        <v>88124.11</v>
      </c>
      <c r="W99" s="93">
        <f t="shared" si="80"/>
        <v>76200.39</v>
      </c>
      <c r="X99" s="244">
        <f t="shared" si="80"/>
        <v>97321.78</v>
      </c>
      <c r="Y99" s="244">
        <f t="shared" si="80"/>
        <v>36254.01</v>
      </c>
      <c r="Z99" s="244">
        <f t="shared" si="80"/>
        <v>80690.39</v>
      </c>
      <c r="AA99" s="244">
        <f t="shared" si="80"/>
        <v>103129.48</v>
      </c>
      <c r="AB99" s="158">
        <f t="shared" si="80"/>
        <v>97461.759999999995</v>
      </c>
      <c r="AC99" s="158">
        <f t="shared" si="80"/>
        <v>93684.51</v>
      </c>
      <c r="AD99" s="158">
        <f t="shared" si="80"/>
        <v>76968.259999999995</v>
      </c>
      <c r="AE99" s="310">
        <f t="shared" si="79"/>
        <v>918335.85000000009</v>
      </c>
      <c r="AF99" s="70"/>
    </row>
    <row r="100" spans="1:32" x14ac:dyDescent="0.35">
      <c r="A100" s="325" t="s">
        <v>272</v>
      </c>
      <c r="B100" s="325"/>
      <c r="C100" s="349">
        <v>180</v>
      </c>
      <c r="D100" s="105">
        <v>9</v>
      </c>
      <c r="E100" s="105">
        <v>0</v>
      </c>
      <c r="F100" s="137">
        <v>0</v>
      </c>
      <c r="G100" s="137">
        <v>0</v>
      </c>
      <c r="H100" s="332">
        <v>0</v>
      </c>
      <c r="I100" s="332">
        <v>0</v>
      </c>
      <c r="J100" s="333">
        <v>0</v>
      </c>
      <c r="K100" s="333">
        <v>13</v>
      </c>
      <c r="L100" s="334">
        <v>201</v>
      </c>
      <c r="M100" s="335">
        <v>1222</v>
      </c>
      <c r="N100" s="335"/>
      <c r="O100" s="100">
        <f t="shared" si="78"/>
        <v>1625</v>
      </c>
      <c r="Q100" s="298" t="s">
        <v>246</v>
      </c>
      <c r="R100" s="350"/>
      <c r="S100" s="299">
        <v>23689.116240984298</v>
      </c>
      <c r="T100" s="299">
        <v>17207.845107637866</v>
      </c>
      <c r="U100" s="299">
        <v>51170.006682505416</v>
      </c>
      <c r="V100" s="299">
        <v>63517.902604055496</v>
      </c>
      <c r="W100" s="299">
        <v>54212.529257452574</v>
      </c>
      <c r="X100" s="351">
        <v>70646.335007865768</v>
      </c>
      <c r="Y100" s="351">
        <v>20400.626131511526</v>
      </c>
      <c r="Z100" s="351">
        <v>59445.439491426907</v>
      </c>
      <c r="AA100" s="351">
        <v>75503.863470962518</v>
      </c>
      <c r="AB100" s="299">
        <v>66922.285781990504</v>
      </c>
      <c r="AC100" s="299">
        <v>55661.658580040181</v>
      </c>
      <c r="AD100" s="299">
        <v>38124.920183457209</v>
      </c>
      <c r="AE100" s="352">
        <f t="shared" si="79"/>
        <v>596502.52853989031</v>
      </c>
      <c r="AF100" s="70"/>
    </row>
    <row r="101" spans="1:32" x14ac:dyDescent="0.35">
      <c r="A101" s="325" t="s">
        <v>273</v>
      </c>
      <c r="B101" s="325"/>
      <c r="C101" s="336">
        <v>0</v>
      </c>
      <c r="D101" s="105">
        <v>0</v>
      </c>
      <c r="E101" s="105">
        <v>75</v>
      </c>
      <c r="F101" s="137">
        <v>0</v>
      </c>
      <c r="G101" s="137">
        <v>0</v>
      </c>
      <c r="H101" s="332">
        <v>0</v>
      </c>
      <c r="I101" s="332">
        <v>0</v>
      </c>
      <c r="J101" s="333">
        <v>0</v>
      </c>
      <c r="K101" s="333">
        <v>0</v>
      </c>
      <c r="L101" s="334">
        <v>63</v>
      </c>
      <c r="M101" s="335">
        <v>0</v>
      </c>
      <c r="N101" s="335">
        <v>0</v>
      </c>
      <c r="O101" s="100">
        <f t="shared" si="78"/>
        <v>138</v>
      </c>
      <c r="Q101" s="233" t="s">
        <v>247</v>
      </c>
      <c r="R101" s="233"/>
      <c r="S101" s="235"/>
      <c r="T101" s="235"/>
      <c r="U101" s="235"/>
      <c r="V101" s="235"/>
      <c r="W101" s="235"/>
      <c r="X101" s="236"/>
      <c r="Y101" s="353"/>
      <c r="Z101" s="236"/>
      <c r="AA101" s="236"/>
      <c r="AB101" s="235"/>
      <c r="AC101" s="354"/>
      <c r="AD101" s="93"/>
      <c r="AE101" s="310">
        <f t="shared" si="79"/>
        <v>0</v>
      </c>
      <c r="AF101" s="70"/>
    </row>
    <row r="102" spans="1:32" x14ac:dyDescent="0.35">
      <c r="A102" s="325" t="s">
        <v>274</v>
      </c>
      <c r="B102" s="325"/>
      <c r="C102" s="336">
        <v>0</v>
      </c>
      <c r="D102" s="105">
        <v>0</v>
      </c>
      <c r="E102" s="105">
        <v>0</v>
      </c>
      <c r="F102" s="137">
        <v>0</v>
      </c>
      <c r="G102" s="137">
        <v>0</v>
      </c>
      <c r="H102" s="332">
        <v>0</v>
      </c>
      <c r="I102" s="332">
        <v>0</v>
      </c>
      <c r="J102" s="333">
        <v>0</v>
      </c>
      <c r="K102" s="333">
        <v>0</v>
      </c>
      <c r="L102" s="334">
        <v>0</v>
      </c>
      <c r="M102" s="335">
        <v>0</v>
      </c>
      <c r="N102" s="335"/>
      <c r="O102" s="100">
        <f t="shared" si="78"/>
        <v>0</v>
      </c>
      <c r="AE102" s="307"/>
      <c r="AF102" s="70"/>
    </row>
    <row r="103" spans="1:32" x14ac:dyDescent="0.35">
      <c r="A103" s="325" t="s">
        <v>275</v>
      </c>
      <c r="B103" s="325"/>
      <c r="C103" s="336">
        <v>0</v>
      </c>
      <c r="D103" s="105">
        <v>0</v>
      </c>
      <c r="E103" s="105">
        <v>0</v>
      </c>
      <c r="F103" s="137">
        <v>0</v>
      </c>
      <c r="G103" s="137">
        <v>0</v>
      </c>
      <c r="H103" s="332">
        <v>0</v>
      </c>
      <c r="I103" s="332">
        <v>0</v>
      </c>
      <c r="J103" s="333">
        <v>0</v>
      </c>
      <c r="K103" s="333">
        <v>0</v>
      </c>
      <c r="L103" s="334">
        <v>252</v>
      </c>
      <c r="M103" s="335">
        <v>0</v>
      </c>
      <c r="N103" s="335"/>
      <c r="O103" s="100">
        <f t="shared" si="78"/>
        <v>252</v>
      </c>
      <c r="Q103" s="67" t="s">
        <v>276</v>
      </c>
      <c r="S103" s="354">
        <v>43973.05</v>
      </c>
      <c r="T103" s="354">
        <v>51111.27</v>
      </c>
      <c r="U103" s="93">
        <v>82160.649999999994</v>
      </c>
      <c r="V103" s="93">
        <v>92889.99</v>
      </c>
      <c r="W103" s="93">
        <v>65812.83</v>
      </c>
      <c r="X103" s="244">
        <v>84096.24</v>
      </c>
      <c r="Y103" s="244">
        <v>35796.629999999997</v>
      </c>
      <c r="Z103" s="244">
        <v>82163.77</v>
      </c>
      <c r="AA103" s="244">
        <v>96962.82</v>
      </c>
      <c r="AB103" s="93">
        <v>83343.45</v>
      </c>
      <c r="AC103" s="93">
        <v>106978.65</v>
      </c>
      <c r="AD103" s="93">
        <v>50265.88</v>
      </c>
      <c r="AE103" s="310">
        <f>SUM(S103:AD103)</f>
        <v>875555.23</v>
      </c>
      <c r="AF103" s="70"/>
    </row>
    <row r="104" spans="1:32" x14ac:dyDescent="0.35">
      <c r="A104" s="325" t="s">
        <v>277</v>
      </c>
      <c r="B104" s="325"/>
      <c r="C104" s="336">
        <v>0</v>
      </c>
      <c r="D104" s="147">
        <v>165</v>
      </c>
      <c r="E104" s="147">
        <v>0</v>
      </c>
      <c r="F104" s="355">
        <v>0</v>
      </c>
      <c r="G104" s="355">
        <v>0</v>
      </c>
      <c r="H104" s="356">
        <v>0</v>
      </c>
      <c r="I104" s="356">
        <v>0</v>
      </c>
      <c r="J104" s="357">
        <v>0</v>
      </c>
      <c r="K104" s="357">
        <v>0</v>
      </c>
      <c r="L104" s="358">
        <v>0</v>
      </c>
      <c r="M104" s="358">
        <v>100</v>
      </c>
      <c r="N104" s="358"/>
      <c r="O104" s="190">
        <f t="shared" si="78"/>
        <v>265</v>
      </c>
      <c r="Q104" s="67" t="s">
        <v>245</v>
      </c>
      <c r="S104" s="342">
        <v>8208.84</v>
      </c>
      <c r="T104" s="342">
        <v>7036.32</v>
      </c>
      <c r="U104" s="342">
        <v>5340</v>
      </c>
      <c r="V104" s="342">
        <v>5026.46</v>
      </c>
      <c r="W104" s="342">
        <v>6105.01</v>
      </c>
      <c r="X104" s="341">
        <v>7539</v>
      </c>
      <c r="Y104" s="359">
        <v>7031.68</v>
      </c>
      <c r="Z104" s="360">
        <v>6444.18</v>
      </c>
      <c r="AA104" s="360">
        <v>6757.29</v>
      </c>
      <c r="AB104" s="361">
        <v>11358.66</v>
      </c>
      <c r="AC104" s="361">
        <v>35085.67</v>
      </c>
      <c r="AD104" s="104">
        <v>11620.86</v>
      </c>
      <c r="AE104" s="310">
        <f>SUM(S104:AD104)</f>
        <v>117553.97</v>
      </c>
      <c r="AF104" s="70"/>
    </row>
    <row r="105" spans="1:32" x14ac:dyDescent="0.35">
      <c r="A105" s="325"/>
      <c r="B105" s="325"/>
      <c r="C105" s="324">
        <f t="shared" ref="C105:N105" si="81">SUM(C93:C104)</f>
        <v>376</v>
      </c>
      <c r="D105" s="105">
        <f t="shared" si="81"/>
        <v>1081</v>
      </c>
      <c r="E105" s="105">
        <f t="shared" si="81"/>
        <v>151</v>
      </c>
      <c r="F105" s="105">
        <f t="shared" si="81"/>
        <v>68</v>
      </c>
      <c r="G105" s="105">
        <f t="shared" si="81"/>
        <v>19</v>
      </c>
      <c r="H105" s="332">
        <f t="shared" si="81"/>
        <v>16</v>
      </c>
      <c r="I105" s="332">
        <f t="shared" si="81"/>
        <v>24</v>
      </c>
      <c r="J105" s="333">
        <f t="shared" si="81"/>
        <v>17</v>
      </c>
      <c r="K105" s="333">
        <f t="shared" si="81"/>
        <v>35</v>
      </c>
      <c r="L105" s="334">
        <f t="shared" si="81"/>
        <v>661</v>
      </c>
      <c r="M105" s="335">
        <f t="shared" si="81"/>
        <v>3430</v>
      </c>
      <c r="N105" s="335">
        <f t="shared" si="81"/>
        <v>0</v>
      </c>
      <c r="O105" s="100">
        <f t="shared" si="78"/>
        <v>5878</v>
      </c>
      <c r="Q105" s="233" t="s">
        <v>57</v>
      </c>
      <c r="S105" s="93">
        <f t="shared" ref="S105:AD105" si="82">SUM(S103:S104)</f>
        <v>52181.89</v>
      </c>
      <c r="T105" s="93">
        <f t="shared" si="82"/>
        <v>58147.59</v>
      </c>
      <c r="U105" s="93">
        <f t="shared" si="82"/>
        <v>87500.65</v>
      </c>
      <c r="V105" s="93">
        <f t="shared" si="82"/>
        <v>97916.450000000012</v>
      </c>
      <c r="W105" s="93">
        <f t="shared" si="82"/>
        <v>71917.84</v>
      </c>
      <c r="X105" s="237">
        <f t="shared" si="82"/>
        <v>91635.24</v>
      </c>
      <c r="Y105" s="362">
        <f t="shared" si="82"/>
        <v>42828.31</v>
      </c>
      <c r="Z105" s="362">
        <f t="shared" si="82"/>
        <v>88607.950000000012</v>
      </c>
      <c r="AA105" s="362">
        <f t="shared" si="82"/>
        <v>103720.11</v>
      </c>
      <c r="AB105" s="363">
        <f t="shared" si="82"/>
        <v>94702.11</v>
      </c>
      <c r="AC105" s="363">
        <f t="shared" si="82"/>
        <v>142064.32000000001</v>
      </c>
      <c r="AD105" s="363">
        <f t="shared" si="82"/>
        <v>61886.74</v>
      </c>
      <c r="AE105" s="364">
        <f>SUM(S105:AD105)</f>
        <v>993109.2</v>
      </c>
    </row>
    <row r="106" spans="1:32" x14ac:dyDescent="0.35">
      <c r="A106" s="365" t="s">
        <v>278</v>
      </c>
      <c r="B106" s="325"/>
      <c r="C106" s="366">
        <v>0</v>
      </c>
      <c r="D106" s="366">
        <v>0</v>
      </c>
      <c r="E106" s="366">
        <v>0</v>
      </c>
      <c r="F106" s="366">
        <v>0</v>
      </c>
      <c r="G106" s="366">
        <v>0</v>
      </c>
      <c r="H106" s="356"/>
      <c r="I106" s="356"/>
      <c r="J106" s="357"/>
      <c r="K106" s="357"/>
      <c r="L106" s="358"/>
      <c r="M106" s="358"/>
      <c r="N106" s="367"/>
      <c r="O106" s="89"/>
      <c r="T106" s="368"/>
      <c r="U106" s="369"/>
      <c r="V106" s="369"/>
      <c r="W106" s="370"/>
      <c r="X106" s="371"/>
      <c r="Y106" s="372"/>
      <c r="Z106" s="372"/>
      <c r="AA106" s="372"/>
      <c r="AB106" s="373"/>
      <c r="AC106" s="374"/>
      <c r="AD106" s="70"/>
      <c r="AE106" s="70"/>
    </row>
    <row r="107" spans="1:32" x14ac:dyDescent="0.35">
      <c r="A107" s="325"/>
      <c r="B107" s="325"/>
      <c r="C107" s="105">
        <f t="shared" ref="C107:N107" si="83">SUM(C105:C106)</f>
        <v>376</v>
      </c>
      <c r="D107" s="105">
        <f t="shared" si="83"/>
        <v>1081</v>
      </c>
      <c r="E107" s="105">
        <f t="shared" si="83"/>
        <v>151</v>
      </c>
      <c r="F107" s="105">
        <f t="shared" si="83"/>
        <v>68</v>
      </c>
      <c r="G107" s="105">
        <f t="shared" si="83"/>
        <v>19</v>
      </c>
      <c r="H107" s="332">
        <f t="shared" si="83"/>
        <v>16</v>
      </c>
      <c r="I107" s="332">
        <f t="shared" si="83"/>
        <v>24</v>
      </c>
      <c r="J107" s="333">
        <f t="shared" si="83"/>
        <v>17</v>
      </c>
      <c r="K107" s="333">
        <f t="shared" si="83"/>
        <v>35</v>
      </c>
      <c r="L107" s="334">
        <f t="shared" si="83"/>
        <v>661</v>
      </c>
      <c r="M107" s="334">
        <f t="shared" si="83"/>
        <v>3430</v>
      </c>
      <c r="N107" s="335">
        <f t="shared" si="83"/>
        <v>0</v>
      </c>
      <c r="O107" s="89"/>
      <c r="T107" s="368"/>
      <c r="U107" s="375"/>
      <c r="V107" s="375"/>
      <c r="W107" s="376"/>
      <c r="X107" s="377"/>
      <c r="Y107" s="378"/>
      <c r="Z107" s="378"/>
      <c r="AA107" s="378"/>
      <c r="AB107" s="379"/>
      <c r="AC107" s="380"/>
      <c r="AD107" s="70"/>
      <c r="AE107" s="70"/>
    </row>
    <row r="108" spans="1:32" x14ac:dyDescent="0.35">
      <c r="A108" s="325"/>
      <c r="B108" s="325"/>
      <c r="C108" s="325"/>
      <c r="D108" s="325"/>
      <c r="E108" s="325"/>
      <c r="F108" s="325"/>
      <c r="G108" s="325"/>
      <c r="H108" s="332"/>
      <c r="I108" s="332"/>
      <c r="J108" s="333"/>
      <c r="K108" s="333"/>
      <c r="L108" s="334"/>
      <c r="M108" s="334"/>
      <c r="N108" s="335"/>
      <c r="O108" s="89"/>
      <c r="T108" s="368"/>
      <c r="U108" s="381"/>
      <c r="V108" s="381"/>
      <c r="W108" s="370"/>
      <c r="X108" s="382"/>
      <c r="Y108" s="383"/>
      <c r="Z108" s="383"/>
      <c r="AA108" s="383"/>
      <c r="AB108" s="384"/>
      <c r="AC108" s="385"/>
      <c r="AD108" s="70"/>
      <c r="AE108" s="70"/>
    </row>
    <row r="109" spans="1:32" x14ac:dyDescent="0.35">
      <c r="A109" s="325"/>
      <c r="B109" s="325"/>
      <c r="C109" s="334"/>
      <c r="D109" s="334"/>
      <c r="E109" s="334"/>
      <c r="F109" s="334"/>
      <c r="G109" s="334"/>
      <c r="H109" s="332"/>
      <c r="I109" s="332"/>
      <c r="J109" s="333"/>
      <c r="K109" s="333"/>
      <c r="L109" s="334"/>
      <c r="M109" s="334"/>
      <c r="N109" s="335"/>
      <c r="O109" s="89"/>
      <c r="T109" s="368"/>
      <c r="U109" s="369"/>
      <c r="V109" s="369"/>
      <c r="W109" s="370"/>
      <c r="X109" s="371"/>
      <c r="Y109" s="386"/>
      <c r="Z109" s="386"/>
      <c r="AA109" s="386"/>
      <c r="AB109" s="387"/>
      <c r="AC109" s="374"/>
      <c r="AD109" s="70"/>
      <c r="AE109" s="70"/>
    </row>
    <row r="110" spans="1:32" x14ac:dyDescent="0.35">
      <c r="A110" s="388"/>
      <c r="B110" s="388"/>
      <c r="C110" s="389"/>
      <c r="D110" s="389"/>
      <c r="E110" s="389"/>
      <c r="F110" s="389"/>
      <c r="G110" s="389"/>
      <c r="H110" s="390"/>
      <c r="I110" s="391"/>
      <c r="J110" s="392"/>
      <c r="K110" s="392"/>
      <c r="L110" s="393"/>
      <c r="M110" s="393"/>
      <c r="N110" s="335"/>
      <c r="O110" s="89"/>
      <c r="T110" s="368"/>
      <c r="U110" s="369"/>
      <c r="V110" s="369"/>
      <c r="W110" s="370"/>
      <c r="X110" s="371"/>
      <c r="Y110" s="386"/>
      <c r="Z110" s="386"/>
      <c r="AA110" s="386"/>
      <c r="AB110" s="387"/>
      <c r="AC110" s="374"/>
      <c r="AD110" s="70"/>
      <c r="AE110" s="70"/>
    </row>
    <row r="111" spans="1:32" x14ac:dyDescent="0.35">
      <c r="A111" s="344"/>
      <c r="B111" s="344"/>
      <c r="C111" s="394"/>
      <c r="D111" s="394"/>
      <c r="E111" s="394"/>
      <c r="F111" s="394"/>
      <c r="G111" s="394"/>
      <c r="H111" s="346"/>
      <c r="I111" s="332"/>
      <c r="J111" s="333"/>
      <c r="K111" s="333"/>
      <c r="L111" s="334"/>
      <c r="M111" s="334"/>
      <c r="N111" s="335"/>
      <c r="O111" s="89"/>
      <c r="T111" s="368"/>
      <c r="U111" s="369"/>
      <c r="V111" s="369"/>
      <c r="W111" s="370"/>
      <c r="X111" s="371"/>
      <c r="Y111" s="386"/>
      <c r="Z111" s="386"/>
      <c r="AA111" s="386"/>
      <c r="AB111" s="387"/>
      <c r="AC111" s="374"/>
      <c r="AD111" s="70"/>
      <c r="AE111" s="70"/>
    </row>
    <row r="112" spans="1:32" x14ac:dyDescent="0.35">
      <c r="A112" s="375" t="s">
        <v>279</v>
      </c>
      <c r="B112" s="394"/>
      <c r="C112" s="394">
        <f t="shared" ref="C112:N112" si="84">SUM(C5,C6:C8,C10,C12:C16,C18,C17,C20:C22,C28:C36,C38:C44)</f>
        <v>3413</v>
      </c>
      <c r="D112" s="394">
        <f t="shared" si="84"/>
        <v>2493</v>
      </c>
      <c r="E112" s="394">
        <f t="shared" si="84"/>
        <v>4574</v>
      </c>
      <c r="F112" s="394">
        <f t="shared" si="84"/>
        <v>4672</v>
      </c>
      <c r="G112" s="394">
        <f t="shared" si="84"/>
        <v>4625</v>
      </c>
      <c r="H112" s="347">
        <f t="shared" si="84"/>
        <v>6261</v>
      </c>
      <c r="I112" s="333">
        <f t="shared" si="84"/>
        <v>4824</v>
      </c>
      <c r="J112" s="333">
        <f t="shared" si="84"/>
        <v>4352</v>
      </c>
      <c r="K112" s="333">
        <f t="shared" si="84"/>
        <v>7576</v>
      </c>
      <c r="L112" s="334">
        <f t="shared" si="84"/>
        <v>7397</v>
      </c>
      <c r="M112" s="334">
        <f t="shared" si="84"/>
        <v>8198</v>
      </c>
      <c r="N112" s="334">
        <f t="shared" si="84"/>
        <v>6065</v>
      </c>
      <c r="O112" s="100">
        <f>SUM(C112:N112)</f>
        <v>64450</v>
      </c>
      <c r="T112" s="368"/>
      <c r="U112" s="369"/>
      <c r="V112" s="369"/>
      <c r="W112" s="395"/>
      <c r="X112" s="371"/>
      <c r="Y112" s="386"/>
      <c r="Z112" s="386"/>
      <c r="AA112" s="386"/>
      <c r="AB112" s="387"/>
      <c r="AC112" s="374"/>
      <c r="AD112" s="70"/>
      <c r="AE112" s="70"/>
    </row>
    <row r="113" spans="1:31" x14ac:dyDescent="0.35">
      <c r="A113" s="396"/>
      <c r="B113" s="396"/>
      <c r="C113" s="345"/>
      <c r="D113" s="345"/>
      <c r="E113" s="345"/>
      <c r="F113" s="345"/>
      <c r="G113" s="345"/>
      <c r="H113" s="397"/>
      <c r="P113" s="70"/>
      <c r="T113" s="70"/>
      <c r="U113" s="70"/>
      <c r="V113" s="70"/>
      <c r="W113" s="70"/>
      <c r="X113" s="265"/>
      <c r="Y113" s="265"/>
      <c r="Z113" s="265"/>
      <c r="AA113" s="237"/>
      <c r="AB113" s="104"/>
      <c r="AC113" s="70"/>
      <c r="AD113" s="70"/>
      <c r="AE113" s="70"/>
    </row>
    <row r="114" spans="1:31" x14ac:dyDescent="0.35">
      <c r="A114" s="315"/>
      <c r="B114" s="304"/>
      <c r="C114" s="151"/>
      <c r="D114" s="151"/>
      <c r="E114" s="151"/>
      <c r="F114" s="151"/>
      <c r="G114" s="151"/>
      <c r="H114" s="167"/>
      <c r="P114" s="70"/>
      <c r="T114" s="70"/>
      <c r="U114" s="70"/>
      <c r="V114" s="70"/>
      <c r="W114" s="70"/>
      <c r="X114" s="265"/>
      <c r="Y114" s="265"/>
      <c r="Z114" s="265"/>
      <c r="AA114" s="237"/>
      <c r="AB114" s="104"/>
      <c r="AC114" s="70"/>
      <c r="AD114" s="70"/>
      <c r="AE114" s="70"/>
    </row>
    <row r="115" spans="1:31" x14ac:dyDescent="0.35">
      <c r="A115" s="398"/>
      <c r="B115" s="304"/>
      <c r="C115" s="151"/>
      <c r="D115" s="151"/>
      <c r="E115" s="151"/>
      <c r="F115" s="151"/>
      <c r="G115" s="151"/>
      <c r="H115" s="167"/>
    </row>
    <row r="116" spans="1:31" x14ac:dyDescent="0.35">
      <c r="A116" s="304"/>
      <c r="B116" s="304"/>
      <c r="C116" s="151"/>
      <c r="D116" s="151"/>
      <c r="E116" s="151"/>
      <c r="F116" s="151"/>
      <c r="G116" s="151"/>
      <c r="H116" s="167"/>
    </row>
    <row r="117" spans="1:31" x14ac:dyDescent="0.35">
      <c r="A117" s="396"/>
      <c r="B117" s="396"/>
      <c r="C117" s="71"/>
      <c r="D117" s="71"/>
      <c r="E117" s="71"/>
      <c r="F117" s="71"/>
      <c r="G117" s="71"/>
      <c r="H117" s="399"/>
    </row>
    <row r="118" spans="1:31" x14ac:dyDescent="0.35">
      <c r="A118" s="315"/>
      <c r="B118" s="315"/>
      <c r="C118" s="321"/>
      <c r="D118" s="321"/>
      <c r="E118" s="321"/>
      <c r="F118" s="321"/>
      <c r="G118" s="321"/>
      <c r="H118" s="318"/>
    </row>
    <row r="119" spans="1:31" x14ac:dyDescent="0.35">
      <c r="A119" s="315"/>
      <c r="B119" s="315"/>
      <c r="C119" s="321"/>
      <c r="D119" s="321"/>
      <c r="E119" s="321"/>
      <c r="F119" s="321"/>
      <c r="G119" s="321"/>
      <c r="H119" s="318"/>
    </row>
    <row r="120" spans="1:31" x14ac:dyDescent="0.35">
      <c r="A120" s="294"/>
      <c r="B120" s="315"/>
      <c r="C120" s="321"/>
      <c r="D120" s="105"/>
      <c r="E120" s="105"/>
      <c r="F120" s="105"/>
      <c r="G120" s="105"/>
      <c r="H120" s="267"/>
    </row>
    <row r="121" spans="1:31" x14ac:dyDescent="0.35">
      <c r="A121" s="303"/>
      <c r="B121" s="303"/>
      <c r="C121" s="105"/>
      <c r="D121" s="105"/>
      <c r="E121" s="105"/>
      <c r="F121" s="105"/>
      <c r="G121" s="105"/>
      <c r="H121" s="267"/>
    </row>
    <row r="122" spans="1:31" x14ac:dyDescent="0.35">
      <c r="A122" s="303"/>
      <c r="B122" s="303"/>
      <c r="C122" s="105"/>
      <c r="D122" s="105"/>
      <c r="E122" s="105"/>
      <c r="F122" s="105"/>
      <c r="G122" s="105"/>
    </row>
    <row r="123" spans="1:31" x14ac:dyDescent="0.35">
      <c r="A123" s="315"/>
      <c r="B123" s="315"/>
      <c r="C123" s="321"/>
      <c r="D123" s="321"/>
      <c r="E123" s="321"/>
      <c r="F123" s="321"/>
      <c r="G123" s="321"/>
      <c r="H123" s="318"/>
    </row>
    <row r="124" spans="1:31" x14ac:dyDescent="0.35">
      <c r="A124" s="315"/>
      <c r="B124" s="315"/>
      <c r="C124" s="321"/>
      <c r="D124" s="321"/>
      <c r="E124" s="321"/>
      <c r="F124" s="321"/>
      <c r="G124" s="321"/>
      <c r="H124" s="318"/>
    </row>
    <row r="125" spans="1:31" x14ac:dyDescent="0.35">
      <c r="A125" s="294"/>
      <c r="B125" s="303"/>
      <c r="C125" s="105"/>
      <c r="D125" s="105"/>
      <c r="E125" s="105"/>
      <c r="F125" s="105"/>
      <c r="G125" s="105"/>
      <c r="H125" s="267"/>
    </row>
    <row r="126" spans="1:31" x14ac:dyDescent="0.35">
      <c r="A126" s="294"/>
      <c r="B126" s="294"/>
      <c r="C126" s="138"/>
      <c r="D126" s="138"/>
      <c r="E126" s="138"/>
      <c r="F126" s="138"/>
      <c r="G126" s="138"/>
      <c r="H126" s="400"/>
    </row>
    <row r="145" spans="5:5" x14ac:dyDescent="0.35">
      <c r="E145" s="105"/>
    </row>
    <row r="359" spans="16:16" x14ac:dyDescent="0.35">
      <c r="P359" s="67" t="s">
        <v>280</v>
      </c>
    </row>
  </sheetData>
  <pageMargins left="0.25" right="0.25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Formula Worksheet_Energy</vt:lpstr>
      <vt:lpstr>Formula Worksheet_Renewable </vt:lpstr>
      <vt:lpstr>Summary Worksheet</vt:lpstr>
      <vt:lpstr>Biomass Data_FY1516</vt:lpstr>
      <vt:lpstr>Biomass Data_FY1314</vt:lpstr>
      <vt:lpstr>FY1011_Water Consumption</vt:lpstr>
      <vt:lpstr>FY1516 Water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LaJoye</dc:creator>
  <cp:lastModifiedBy>James House</cp:lastModifiedBy>
  <cp:lastPrinted>2016-11-30T16:49:13Z</cp:lastPrinted>
  <dcterms:created xsi:type="dcterms:W3CDTF">2016-11-23T16:04:16Z</dcterms:created>
  <dcterms:modified xsi:type="dcterms:W3CDTF">2017-01-27T18:19:32Z</dcterms:modified>
</cp:coreProperties>
</file>