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ergy and Emissions\Emissions\FY16 Emissions\"/>
    </mc:Choice>
  </mc:AlternateContent>
  <bookViews>
    <workbookView xWindow="420" yWindow="975" windowWidth="18015" windowHeight="10560"/>
  </bookViews>
  <sheets>
    <sheet name="Overview Usage + GHG Emissions" sheetId="2" r:id="rId1"/>
    <sheet name="Overview EUI" sheetId="7" r:id="rId2"/>
    <sheet name="-" sheetId="9" r:id="rId3"/>
    <sheet name="rawGHG" sheetId="1" r:id="rId4"/>
    <sheet name="rawkBTU" sheetId="3" r:id="rId5"/>
    <sheet name="PL" sheetId="5" r:id="rId6"/>
  </sheets>
  <definedNames>
    <definedName name="_xlnm._FilterDatabase" localSheetId="3" hidden="1">rawGHG!$A$1:$O$161</definedName>
    <definedName name="_xlnm._FilterDatabase" localSheetId="4" hidden="1">rawkBTU!$A$1:$V$146</definedName>
  </definedNames>
  <calcPr calcId="152511"/>
</workbook>
</file>

<file path=xl/calcChain.xml><?xml version="1.0" encoding="utf-8"?>
<calcChain xmlns="http://schemas.openxmlformats.org/spreadsheetml/2006/main">
  <c r="R16" i="2" l="1"/>
  <c r="R15" i="2"/>
  <c r="F114" i="2" l="1"/>
  <c r="C112" i="2"/>
  <c r="D112" i="2"/>
  <c r="E112" i="2"/>
  <c r="F112" i="2"/>
  <c r="G112" i="2"/>
  <c r="H112" i="2"/>
  <c r="I112" i="2"/>
  <c r="J112" i="2"/>
  <c r="K112" i="2"/>
  <c r="L112" i="2"/>
  <c r="M112" i="2"/>
  <c r="N112" i="2"/>
  <c r="B112" i="2"/>
  <c r="K99" i="2"/>
  <c r="F96" i="2"/>
  <c r="G96" i="2"/>
  <c r="H96" i="2"/>
  <c r="I96" i="2"/>
  <c r="J96" i="2"/>
  <c r="K96" i="2"/>
  <c r="L96" i="2"/>
  <c r="M96" i="2"/>
  <c r="N96" i="2"/>
  <c r="O96" i="2"/>
  <c r="P96" i="2"/>
  <c r="Q96" i="2"/>
  <c r="E96" i="2"/>
  <c r="E71" i="2" l="1"/>
  <c r="I72" i="2" s="1"/>
  <c r="P72" i="2" l="1"/>
  <c r="L72" i="2"/>
  <c r="H72" i="2"/>
  <c r="O72" i="2"/>
  <c r="K72" i="2"/>
  <c r="G72" i="2"/>
  <c r="F72" i="2"/>
  <c r="N72" i="2"/>
  <c r="J72" i="2"/>
  <c r="Q72" i="2"/>
  <c r="M72" i="2"/>
  <c r="O13" i="7"/>
  <c r="P13" i="7"/>
  <c r="Q13" i="7"/>
  <c r="O33" i="7"/>
  <c r="P33" i="7"/>
  <c r="Q33" i="7"/>
  <c r="AC146" i="3" l="1"/>
  <c r="AD146" i="3" s="1"/>
  <c r="AB146" i="3"/>
  <c r="Y146" i="3"/>
  <c r="W146" i="3"/>
  <c r="S146" i="3"/>
  <c r="U146" i="3" s="1"/>
  <c r="Z146" i="3" s="1"/>
  <c r="P146" i="3"/>
  <c r="N146" i="3"/>
  <c r="AC145" i="3"/>
  <c r="AD145" i="3" s="1"/>
  <c r="AB145" i="3"/>
  <c r="Y145" i="3"/>
  <c r="W145" i="3"/>
  <c r="S145" i="3"/>
  <c r="U145" i="3" s="1"/>
  <c r="Z145" i="3" s="1"/>
  <c r="P145" i="3"/>
  <c r="N145" i="3"/>
  <c r="AC144" i="3"/>
  <c r="AD144" i="3" s="1"/>
  <c r="AB144" i="3"/>
  <c r="Y144" i="3"/>
  <c r="W144" i="3"/>
  <c r="S144" i="3"/>
  <c r="T144" i="3" s="1"/>
  <c r="P144" i="3"/>
  <c r="N144" i="3"/>
  <c r="AC143" i="3"/>
  <c r="AD143" i="3" s="1"/>
  <c r="AB143" i="3"/>
  <c r="Y143" i="3"/>
  <c r="W143" i="3"/>
  <c r="S143" i="3"/>
  <c r="U143" i="3" s="1"/>
  <c r="Z143" i="3" s="1"/>
  <c r="P143" i="3"/>
  <c r="N143" i="3"/>
  <c r="AC142" i="3"/>
  <c r="AD142" i="3" s="1"/>
  <c r="AB142" i="3"/>
  <c r="Y142" i="3"/>
  <c r="W142" i="3"/>
  <c r="S142" i="3"/>
  <c r="U142" i="3" s="1"/>
  <c r="Z142" i="3" s="1"/>
  <c r="P142" i="3"/>
  <c r="N142" i="3"/>
  <c r="AC141" i="3"/>
  <c r="AD141" i="3" s="1"/>
  <c r="AB141" i="3"/>
  <c r="Y141" i="3"/>
  <c r="W141" i="3"/>
  <c r="S141" i="3"/>
  <c r="U141" i="3" s="1"/>
  <c r="Z141" i="3" s="1"/>
  <c r="P141" i="3"/>
  <c r="N141" i="3"/>
  <c r="U144" i="3" l="1"/>
  <c r="Z144" i="3" s="1"/>
  <c r="R146" i="3"/>
  <c r="R145" i="3"/>
  <c r="R144" i="3"/>
  <c r="T145" i="3"/>
  <c r="T146" i="3"/>
  <c r="T141" i="3"/>
  <c r="R142" i="3"/>
  <c r="R141" i="3"/>
  <c r="R143" i="3"/>
  <c r="T142" i="3"/>
  <c r="T143" i="3"/>
  <c r="AC140" i="3" l="1"/>
  <c r="AD140" i="3" s="1"/>
  <c r="AB140" i="3"/>
  <c r="Y140" i="3"/>
  <c r="W140" i="3"/>
  <c r="S140" i="3"/>
  <c r="U140" i="3" s="1"/>
  <c r="Z140" i="3" s="1"/>
  <c r="P140" i="3"/>
  <c r="N140" i="3"/>
  <c r="AC139" i="3"/>
  <c r="AD139" i="3" s="1"/>
  <c r="AB139" i="3"/>
  <c r="Y139" i="3"/>
  <c r="W139" i="3"/>
  <c r="S139" i="3"/>
  <c r="U139" i="3" s="1"/>
  <c r="Z139" i="3" s="1"/>
  <c r="P139" i="3"/>
  <c r="N139" i="3"/>
  <c r="AC138" i="3"/>
  <c r="AD138" i="3" s="1"/>
  <c r="AB138" i="3"/>
  <c r="Y138" i="3"/>
  <c r="W138" i="3"/>
  <c r="S138" i="3"/>
  <c r="T138" i="3" s="1"/>
  <c r="P138" i="3"/>
  <c r="N138" i="3"/>
  <c r="Y111" i="3"/>
  <c r="AB111" i="3"/>
  <c r="AC111" i="3"/>
  <c r="AD111" i="3" s="1"/>
  <c r="Y112" i="3"/>
  <c r="AB112" i="3"/>
  <c r="AC112" i="3"/>
  <c r="AD112" i="3" s="1"/>
  <c r="Y113" i="3"/>
  <c r="AB113" i="3"/>
  <c r="AC113" i="3"/>
  <c r="AD113" i="3" s="1"/>
  <c r="Y114" i="3"/>
  <c r="AB114" i="3"/>
  <c r="AC114" i="3"/>
  <c r="AD114" i="3" s="1"/>
  <c r="Y115" i="3"/>
  <c r="AB115" i="3"/>
  <c r="AC115" i="3"/>
  <c r="AD115" i="3" s="1"/>
  <c r="W111" i="3"/>
  <c r="W112" i="3"/>
  <c r="W113" i="3"/>
  <c r="W114" i="3"/>
  <c r="W115" i="3"/>
  <c r="N113" i="3"/>
  <c r="P113" i="3"/>
  <c r="S113" i="3"/>
  <c r="U113" i="3" s="1"/>
  <c r="Z113" i="3" s="1"/>
  <c r="N114" i="3"/>
  <c r="P114" i="3"/>
  <c r="S114" i="3"/>
  <c r="T114" i="3" s="1"/>
  <c r="N115" i="3"/>
  <c r="P115" i="3"/>
  <c r="S115" i="3"/>
  <c r="U115" i="3" s="1"/>
  <c r="Z115" i="3" s="1"/>
  <c r="M93" i="3"/>
  <c r="O93" i="3"/>
  <c r="S93" i="3"/>
  <c r="U93" i="3" s="1"/>
  <c r="Z93" i="3" s="1"/>
  <c r="W93" i="3"/>
  <c r="Y93" i="3"/>
  <c r="AB93" i="3"/>
  <c r="AC93" i="3"/>
  <c r="AD93" i="3" s="1"/>
  <c r="M94" i="3"/>
  <c r="O94" i="3"/>
  <c r="S94" i="3"/>
  <c r="U94" i="3" s="1"/>
  <c r="Z94" i="3" s="1"/>
  <c r="W94" i="3"/>
  <c r="Y94" i="3"/>
  <c r="AB94" i="3"/>
  <c r="AC94" i="3"/>
  <c r="AD94" i="3" s="1"/>
  <c r="M95" i="3"/>
  <c r="O95" i="3"/>
  <c r="S95" i="3"/>
  <c r="T95" i="3" s="1"/>
  <c r="W95" i="3"/>
  <c r="Y95" i="3"/>
  <c r="AB95" i="3"/>
  <c r="AC95" i="3"/>
  <c r="AD95" i="3" s="1"/>
  <c r="N87" i="3"/>
  <c r="P87" i="3"/>
  <c r="S87" i="3"/>
  <c r="T87" i="3" s="1"/>
  <c r="W87" i="3"/>
  <c r="Y87" i="3"/>
  <c r="AB87" i="3"/>
  <c r="AC87" i="3"/>
  <c r="AD87" i="3" s="1"/>
  <c r="N88" i="3"/>
  <c r="P88" i="3"/>
  <c r="S88" i="3"/>
  <c r="T88" i="3" s="1"/>
  <c r="W88" i="3"/>
  <c r="Y88" i="3"/>
  <c r="AB88" i="3"/>
  <c r="AC88" i="3"/>
  <c r="AD88" i="3" s="1"/>
  <c r="N89" i="3"/>
  <c r="P89" i="3"/>
  <c r="S89" i="3"/>
  <c r="U89" i="3" s="1"/>
  <c r="Z89" i="3" s="1"/>
  <c r="W89" i="3"/>
  <c r="Y89" i="3"/>
  <c r="AB89" i="3"/>
  <c r="AC89" i="3"/>
  <c r="AD89" i="3" s="1"/>
  <c r="AC131" i="3"/>
  <c r="AD131" i="3" s="1"/>
  <c r="AB131" i="3"/>
  <c r="AA131" i="3"/>
  <c r="Z131" i="3"/>
  <c r="AC130" i="3"/>
  <c r="AD130" i="3" s="1"/>
  <c r="AB130" i="3"/>
  <c r="AA130" i="3"/>
  <c r="Z130" i="3"/>
  <c r="AC129" i="3"/>
  <c r="AD129" i="3" s="1"/>
  <c r="AB129" i="3"/>
  <c r="AA129" i="3"/>
  <c r="Z129" i="3"/>
  <c r="AC128" i="3"/>
  <c r="AD128" i="3" s="1"/>
  <c r="AB128" i="3"/>
  <c r="AA128" i="3"/>
  <c r="Z128" i="3"/>
  <c r="AC127" i="3"/>
  <c r="AD127" i="3" s="1"/>
  <c r="AB127" i="3"/>
  <c r="AA127" i="3"/>
  <c r="Z127" i="3"/>
  <c r="AC126" i="3"/>
  <c r="AD126" i="3" s="1"/>
  <c r="AB126" i="3"/>
  <c r="AA126" i="3"/>
  <c r="Z126" i="3"/>
  <c r="Y131" i="3"/>
  <c r="Y130" i="3"/>
  <c r="Y129" i="3"/>
  <c r="Y128" i="3"/>
  <c r="Y127" i="3"/>
  <c r="Y126" i="3"/>
  <c r="W131" i="3"/>
  <c r="W130" i="3"/>
  <c r="W129" i="3"/>
  <c r="W128" i="3"/>
  <c r="W127" i="3"/>
  <c r="W126" i="3"/>
  <c r="O55" i="3"/>
  <c r="S55" i="3"/>
  <c r="U55" i="3" s="1"/>
  <c r="Z55" i="3" s="1"/>
  <c r="O56" i="3"/>
  <c r="S56" i="3"/>
  <c r="T56" i="3" s="1"/>
  <c r="M56" i="3"/>
  <c r="M55" i="3"/>
  <c r="M54" i="3"/>
  <c r="O54" i="3"/>
  <c r="S54" i="3"/>
  <c r="T54" i="3" s="1"/>
  <c r="O53" i="3"/>
  <c r="S53" i="3"/>
  <c r="T53" i="3" s="1"/>
  <c r="W54" i="3"/>
  <c r="Y54" i="3"/>
  <c r="AB54" i="3"/>
  <c r="AC54" i="3"/>
  <c r="AD54" i="3" s="1"/>
  <c r="W55" i="3"/>
  <c r="Y55" i="3"/>
  <c r="AB55" i="3"/>
  <c r="AC55" i="3"/>
  <c r="AD55" i="3" s="1"/>
  <c r="W56" i="3"/>
  <c r="Y56" i="3"/>
  <c r="AB56" i="3"/>
  <c r="AC56" i="3"/>
  <c r="AD56" i="3" s="1"/>
  <c r="H14" i="5"/>
  <c r="H15" i="5"/>
  <c r="H16" i="5"/>
  <c r="O15" i="2"/>
  <c r="P15" i="2"/>
  <c r="Q15" i="2"/>
  <c r="P35" i="2"/>
  <c r="P36" i="2" s="1"/>
  <c r="Q35" i="2"/>
  <c r="O35" i="2"/>
  <c r="O36" i="2" s="1"/>
  <c r="AC110" i="3"/>
  <c r="AD110" i="3" s="1"/>
  <c r="AB110" i="3"/>
  <c r="Y110" i="3"/>
  <c r="W110" i="3"/>
  <c r="S125" i="3"/>
  <c r="T125" i="3" s="1"/>
  <c r="P125" i="3"/>
  <c r="N125" i="3"/>
  <c r="AC109" i="3"/>
  <c r="AD109" i="3" s="1"/>
  <c r="AB109" i="3"/>
  <c r="Y109" i="3"/>
  <c r="W109" i="3"/>
  <c r="S124" i="3"/>
  <c r="U124" i="3" s="1"/>
  <c r="P124" i="3"/>
  <c r="N124" i="3"/>
  <c r="AC108" i="3"/>
  <c r="AD108" i="3" s="1"/>
  <c r="AB108" i="3"/>
  <c r="Y108" i="3"/>
  <c r="W108" i="3"/>
  <c r="S123" i="3"/>
  <c r="T123" i="3" s="1"/>
  <c r="P123" i="3"/>
  <c r="N123" i="3"/>
  <c r="AC107" i="3"/>
  <c r="AD107" i="3" s="1"/>
  <c r="AB107" i="3"/>
  <c r="Y107" i="3"/>
  <c r="W107" i="3"/>
  <c r="S122" i="3"/>
  <c r="U122" i="3" s="1"/>
  <c r="P122" i="3"/>
  <c r="N122" i="3"/>
  <c r="AC106" i="3"/>
  <c r="AD106" i="3" s="1"/>
  <c r="AB106" i="3"/>
  <c r="Y106" i="3"/>
  <c r="W106" i="3"/>
  <c r="S121" i="3"/>
  <c r="T121" i="3" s="1"/>
  <c r="P121" i="3"/>
  <c r="N121" i="3"/>
  <c r="AC105" i="3"/>
  <c r="AD105" i="3" s="1"/>
  <c r="AB105" i="3"/>
  <c r="Y105" i="3"/>
  <c r="W105" i="3"/>
  <c r="S120" i="3"/>
  <c r="U120" i="3" s="1"/>
  <c r="O120" i="3"/>
  <c r="M120" i="3"/>
  <c r="AC104" i="3"/>
  <c r="AD104" i="3" s="1"/>
  <c r="AB104" i="3"/>
  <c r="Y104" i="3"/>
  <c r="W104" i="3"/>
  <c r="S119" i="3"/>
  <c r="T119" i="3" s="1"/>
  <c r="O119" i="3"/>
  <c r="M119" i="3"/>
  <c r="AC103" i="3"/>
  <c r="AD103" i="3" s="1"/>
  <c r="AB103" i="3"/>
  <c r="Y103" i="3"/>
  <c r="W103" i="3"/>
  <c r="S118" i="3"/>
  <c r="U118" i="3" s="1"/>
  <c r="O118" i="3"/>
  <c r="M118" i="3"/>
  <c r="AC102" i="3"/>
  <c r="AD102" i="3" s="1"/>
  <c r="AB102" i="3"/>
  <c r="Y102" i="3"/>
  <c r="W102" i="3"/>
  <c r="S117" i="3"/>
  <c r="T117" i="3" s="1"/>
  <c r="O117" i="3"/>
  <c r="M117" i="3"/>
  <c r="AC101" i="3"/>
  <c r="AD101" i="3" s="1"/>
  <c r="AB101" i="3"/>
  <c r="Y101" i="3"/>
  <c r="W101" i="3"/>
  <c r="S116" i="3"/>
  <c r="U116" i="3" s="1"/>
  <c r="O116" i="3"/>
  <c r="M116" i="3"/>
  <c r="AC100" i="3"/>
  <c r="AD100" i="3" s="1"/>
  <c r="AB100" i="3"/>
  <c r="Y100" i="3"/>
  <c r="W100" i="3"/>
  <c r="S112" i="3"/>
  <c r="T112" i="3" s="1"/>
  <c r="P112" i="3"/>
  <c r="N112" i="3"/>
  <c r="AC99" i="3"/>
  <c r="AD99" i="3" s="1"/>
  <c r="AB99" i="3"/>
  <c r="Y99" i="3"/>
  <c r="W99" i="3"/>
  <c r="S111" i="3"/>
  <c r="T111" i="3" s="1"/>
  <c r="P111" i="3"/>
  <c r="N111" i="3"/>
  <c r="AC98" i="3"/>
  <c r="AD98" i="3" s="1"/>
  <c r="AB98" i="3"/>
  <c r="Y98" i="3"/>
  <c r="W98" i="3"/>
  <c r="S110" i="3"/>
  <c r="T110" i="3" s="1"/>
  <c r="P110" i="3"/>
  <c r="N110" i="3"/>
  <c r="AC97" i="3"/>
  <c r="AD97" i="3" s="1"/>
  <c r="AB97" i="3"/>
  <c r="Y97" i="3"/>
  <c r="W97" i="3"/>
  <c r="S109" i="3"/>
  <c r="U109" i="3" s="1"/>
  <c r="P109" i="3"/>
  <c r="N109" i="3"/>
  <c r="AC96" i="3"/>
  <c r="AD96" i="3" s="1"/>
  <c r="AB96" i="3"/>
  <c r="Y96" i="3"/>
  <c r="W96" i="3"/>
  <c r="S108" i="3"/>
  <c r="T108" i="3" s="1"/>
  <c r="P108" i="3"/>
  <c r="N108" i="3"/>
  <c r="S107" i="3"/>
  <c r="U107" i="3" s="1"/>
  <c r="P107" i="3"/>
  <c r="N107" i="3"/>
  <c r="S106" i="3"/>
  <c r="T106" i="3" s="1"/>
  <c r="P106" i="3"/>
  <c r="N106" i="3"/>
  <c r="S105" i="3"/>
  <c r="U105" i="3" s="1"/>
  <c r="P105" i="3"/>
  <c r="N105" i="3"/>
  <c r="AC92" i="3"/>
  <c r="AD92" i="3" s="1"/>
  <c r="AB92" i="3"/>
  <c r="Y92" i="3"/>
  <c r="W92" i="3"/>
  <c r="S104" i="3"/>
  <c r="T104" i="3" s="1"/>
  <c r="P104" i="3"/>
  <c r="N104" i="3"/>
  <c r="AC91" i="3"/>
  <c r="AD91" i="3" s="1"/>
  <c r="AB91" i="3"/>
  <c r="Y91" i="3"/>
  <c r="W91" i="3"/>
  <c r="S103" i="3"/>
  <c r="U103" i="3" s="1"/>
  <c r="P103" i="3"/>
  <c r="N103" i="3"/>
  <c r="AC90" i="3"/>
  <c r="AD90" i="3" s="1"/>
  <c r="AB90" i="3"/>
  <c r="Y90" i="3"/>
  <c r="W90" i="3"/>
  <c r="S102" i="3"/>
  <c r="T102" i="3" s="1"/>
  <c r="P102" i="3"/>
  <c r="N102" i="3"/>
  <c r="S101" i="3"/>
  <c r="U101" i="3" s="1"/>
  <c r="P101" i="3"/>
  <c r="N101" i="3"/>
  <c r="S100" i="3"/>
  <c r="T100" i="3" s="1"/>
  <c r="P100" i="3"/>
  <c r="N100" i="3"/>
  <c r="S99" i="3"/>
  <c r="U99" i="3" s="1"/>
  <c r="P99" i="3"/>
  <c r="N99" i="3"/>
  <c r="AC86" i="3"/>
  <c r="AD86" i="3" s="1"/>
  <c r="AB86" i="3"/>
  <c r="Y86" i="3"/>
  <c r="W86" i="3"/>
  <c r="S98" i="3"/>
  <c r="T98" i="3" s="1"/>
  <c r="P98" i="3"/>
  <c r="N98" i="3"/>
  <c r="AC85" i="3"/>
  <c r="AD85" i="3" s="1"/>
  <c r="AB85" i="3"/>
  <c r="Y85" i="3"/>
  <c r="W85" i="3"/>
  <c r="S97" i="3"/>
  <c r="U97" i="3" s="1"/>
  <c r="P97" i="3"/>
  <c r="N97" i="3"/>
  <c r="AC84" i="3"/>
  <c r="AD84" i="3" s="1"/>
  <c r="AB84" i="3"/>
  <c r="Y84" i="3"/>
  <c r="W84" i="3"/>
  <c r="S96" i="3"/>
  <c r="T96" i="3" s="1"/>
  <c r="P96" i="3"/>
  <c r="N96" i="3"/>
  <c r="AC83" i="3"/>
  <c r="AD83" i="3" s="1"/>
  <c r="AB83" i="3"/>
  <c r="Y83" i="3"/>
  <c r="W83" i="3"/>
  <c r="S92" i="3"/>
  <c r="U92" i="3" s="1"/>
  <c r="O92" i="3"/>
  <c r="M92" i="3"/>
  <c r="AC82" i="3"/>
  <c r="AD82" i="3" s="1"/>
  <c r="AB82" i="3"/>
  <c r="Y82" i="3"/>
  <c r="W82" i="3"/>
  <c r="S91" i="3"/>
  <c r="T91" i="3" s="1"/>
  <c r="O91" i="3"/>
  <c r="M91" i="3"/>
  <c r="AC81" i="3"/>
  <c r="AD81" i="3" s="1"/>
  <c r="AB81" i="3"/>
  <c r="Y81" i="3"/>
  <c r="W81" i="3"/>
  <c r="S90" i="3"/>
  <c r="U90" i="3" s="1"/>
  <c r="O90" i="3"/>
  <c r="M90" i="3"/>
  <c r="AC80" i="3"/>
  <c r="AD80" i="3" s="1"/>
  <c r="AB80" i="3"/>
  <c r="Y80" i="3"/>
  <c r="W80" i="3"/>
  <c r="S86" i="3"/>
  <c r="T86" i="3" s="1"/>
  <c r="P86" i="3"/>
  <c r="N86" i="3"/>
  <c r="AC79" i="3"/>
  <c r="AD79" i="3" s="1"/>
  <c r="AB79" i="3"/>
  <c r="Y79" i="3"/>
  <c r="W79" i="3"/>
  <c r="S85" i="3"/>
  <c r="U85" i="3" s="1"/>
  <c r="P85" i="3"/>
  <c r="N85" i="3"/>
  <c r="AC78" i="3"/>
  <c r="AD78" i="3" s="1"/>
  <c r="AB78" i="3"/>
  <c r="Y78" i="3"/>
  <c r="W78" i="3"/>
  <c r="S84" i="3"/>
  <c r="T84" i="3" s="1"/>
  <c r="P84" i="3"/>
  <c r="N84" i="3"/>
  <c r="AC77" i="3"/>
  <c r="AD77" i="3" s="1"/>
  <c r="AB77" i="3"/>
  <c r="Y77" i="3"/>
  <c r="W77" i="3"/>
  <c r="S83" i="3"/>
  <c r="U83" i="3" s="1"/>
  <c r="P83" i="3"/>
  <c r="N83" i="3"/>
  <c r="AC76" i="3"/>
  <c r="AD76" i="3" s="1"/>
  <c r="AB76" i="3"/>
  <c r="Y76" i="3"/>
  <c r="W76" i="3"/>
  <c r="S82" i="3"/>
  <c r="T82" i="3" s="1"/>
  <c r="P82" i="3"/>
  <c r="N82" i="3"/>
  <c r="AC75" i="3"/>
  <c r="AD75" i="3" s="1"/>
  <c r="AB75" i="3"/>
  <c r="Y75" i="3"/>
  <c r="W75" i="3"/>
  <c r="S81" i="3"/>
  <c r="U81" i="3" s="1"/>
  <c r="P81" i="3"/>
  <c r="N81" i="3"/>
  <c r="AC74" i="3"/>
  <c r="AD74" i="3" s="1"/>
  <c r="AB74" i="3"/>
  <c r="Y74" i="3"/>
  <c r="W74" i="3"/>
  <c r="S80" i="3"/>
  <c r="T80" i="3" s="1"/>
  <c r="P80" i="3"/>
  <c r="N80" i="3"/>
  <c r="AC73" i="3"/>
  <c r="AD73" i="3" s="1"/>
  <c r="AB73" i="3"/>
  <c r="Y73" i="3"/>
  <c r="W73" i="3"/>
  <c r="S79" i="3"/>
  <c r="T79" i="3" s="1"/>
  <c r="P79" i="3"/>
  <c r="N79" i="3"/>
  <c r="AC72" i="3"/>
  <c r="AD72" i="3" s="1"/>
  <c r="AB72" i="3"/>
  <c r="Y72" i="3"/>
  <c r="W72" i="3"/>
  <c r="S78" i="3"/>
  <c r="T78" i="3" s="1"/>
  <c r="P78" i="3"/>
  <c r="N78" i="3"/>
  <c r="AC71" i="3"/>
  <c r="AD71" i="3" s="1"/>
  <c r="AB71" i="3"/>
  <c r="Y71" i="3"/>
  <c r="W71" i="3"/>
  <c r="S77" i="3"/>
  <c r="U77" i="3" s="1"/>
  <c r="P77" i="3"/>
  <c r="N77" i="3"/>
  <c r="AC70" i="3"/>
  <c r="AD70" i="3" s="1"/>
  <c r="AB70" i="3"/>
  <c r="Y70" i="3"/>
  <c r="W70" i="3"/>
  <c r="S76" i="3"/>
  <c r="T76" i="3" s="1"/>
  <c r="P76" i="3"/>
  <c r="N76" i="3"/>
  <c r="AC69" i="3"/>
  <c r="AD69" i="3" s="1"/>
  <c r="AB69" i="3"/>
  <c r="Y69" i="3"/>
  <c r="W69" i="3"/>
  <c r="S75" i="3"/>
  <c r="U75" i="3" s="1"/>
  <c r="P75" i="3"/>
  <c r="N75" i="3"/>
  <c r="AC68" i="3"/>
  <c r="AD68" i="3" s="1"/>
  <c r="AB68" i="3"/>
  <c r="Y68" i="3"/>
  <c r="W68" i="3"/>
  <c r="S74" i="3"/>
  <c r="T74" i="3" s="1"/>
  <c r="P74" i="3"/>
  <c r="N74" i="3"/>
  <c r="AC67" i="3"/>
  <c r="AD67" i="3" s="1"/>
  <c r="AB67" i="3"/>
  <c r="Y67" i="3"/>
  <c r="W67" i="3"/>
  <c r="S73" i="3"/>
  <c r="U73" i="3" s="1"/>
  <c r="P73" i="3"/>
  <c r="N73" i="3"/>
  <c r="AC66" i="3"/>
  <c r="AD66" i="3" s="1"/>
  <c r="AB66" i="3"/>
  <c r="Y66" i="3"/>
  <c r="W66" i="3"/>
  <c r="S72" i="3"/>
  <c r="T72" i="3" s="1"/>
  <c r="P72" i="3"/>
  <c r="N72" i="3"/>
  <c r="AC65" i="3"/>
  <c r="AD65" i="3" s="1"/>
  <c r="AB65" i="3"/>
  <c r="Y65" i="3"/>
  <c r="W65" i="3"/>
  <c r="S71" i="3"/>
  <c r="U71" i="3" s="1"/>
  <c r="P71" i="3"/>
  <c r="N71" i="3"/>
  <c r="AC64" i="3"/>
  <c r="AD64" i="3" s="1"/>
  <c r="AB64" i="3"/>
  <c r="Y64" i="3"/>
  <c r="W64" i="3"/>
  <c r="S70" i="3"/>
  <c r="T70" i="3" s="1"/>
  <c r="P70" i="3"/>
  <c r="N70" i="3"/>
  <c r="AC63" i="3"/>
  <c r="AD63" i="3" s="1"/>
  <c r="AB63" i="3"/>
  <c r="Y63" i="3"/>
  <c r="W63" i="3"/>
  <c r="S69" i="3"/>
  <c r="U69" i="3" s="1"/>
  <c r="P69" i="3"/>
  <c r="N69" i="3"/>
  <c r="S68" i="3"/>
  <c r="T68" i="3" s="1"/>
  <c r="O68" i="3"/>
  <c r="M68" i="3"/>
  <c r="S67" i="3"/>
  <c r="U67" i="3" s="1"/>
  <c r="O67" i="3"/>
  <c r="M67" i="3"/>
  <c r="S66" i="3"/>
  <c r="T66" i="3" s="1"/>
  <c r="O66" i="3"/>
  <c r="M66" i="3"/>
  <c r="AC62" i="3"/>
  <c r="AD62" i="3" s="1"/>
  <c r="AB62" i="3"/>
  <c r="Y62" i="3"/>
  <c r="W62" i="3"/>
  <c r="S65" i="3"/>
  <c r="U65" i="3" s="1"/>
  <c r="O65" i="3"/>
  <c r="M65" i="3"/>
  <c r="AC61" i="3"/>
  <c r="AD61" i="3" s="1"/>
  <c r="AB61" i="3"/>
  <c r="Y61" i="3"/>
  <c r="W61" i="3"/>
  <c r="S64" i="3"/>
  <c r="T64" i="3" s="1"/>
  <c r="O64" i="3"/>
  <c r="M64" i="3"/>
  <c r="AC60" i="3"/>
  <c r="AD60" i="3" s="1"/>
  <c r="AB60" i="3"/>
  <c r="Y60" i="3"/>
  <c r="W60" i="3"/>
  <c r="S63" i="3"/>
  <c r="U63" i="3" s="1"/>
  <c r="O63" i="3"/>
  <c r="M63" i="3"/>
  <c r="AC59" i="3"/>
  <c r="AD59" i="3" s="1"/>
  <c r="AB59" i="3"/>
  <c r="Y59" i="3"/>
  <c r="W59" i="3"/>
  <c r="S62" i="3"/>
  <c r="T62" i="3" s="1"/>
  <c r="P62" i="3"/>
  <c r="N62" i="3"/>
  <c r="AC58" i="3"/>
  <c r="AD58" i="3" s="1"/>
  <c r="AB58" i="3"/>
  <c r="Y58" i="3"/>
  <c r="W58" i="3"/>
  <c r="S61" i="3"/>
  <c r="U61" i="3" s="1"/>
  <c r="P61" i="3"/>
  <c r="N61" i="3"/>
  <c r="AC57" i="3"/>
  <c r="AD57" i="3" s="1"/>
  <c r="AB57" i="3"/>
  <c r="Y57" i="3"/>
  <c r="W57" i="3"/>
  <c r="S60" i="3"/>
  <c r="T60" i="3" s="1"/>
  <c r="P60" i="3"/>
  <c r="N60" i="3"/>
  <c r="S59" i="3"/>
  <c r="U59" i="3" s="1"/>
  <c r="P59" i="3"/>
  <c r="N59" i="3"/>
  <c r="S58" i="3"/>
  <c r="T58" i="3" s="1"/>
  <c r="P58" i="3"/>
  <c r="N58" i="3"/>
  <c r="S57" i="3"/>
  <c r="U57" i="3" s="1"/>
  <c r="P57" i="3"/>
  <c r="N57" i="3"/>
  <c r="AC53" i="3"/>
  <c r="AD53" i="3" s="1"/>
  <c r="AB53" i="3"/>
  <c r="Y53" i="3"/>
  <c r="W53" i="3"/>
  <c r="M53" i="3"/>
  <c r="AC52" i="3"/>
  <c r="AD52" i="3" s="1"/>
  <c r="AB52" i="3"/>
  <c r="Y52" i="3"/>
  <c r="W52" i="3"/>
  <c r="S52" i="3"/>
  <c r="U52" i="3" s="1"/>
  <c r="Z52" i="3" s="1"/>
  <c r="O52" i="3"/>
  <c r="M52" i="3"/>
  <c r="AC51" i="3"/>
  <c r="AD51" i="3" s="1"/>
  <c r="AB51" i="3"/>
  <c r="Y51" i="3"/>
  <c r="W51" i="3"/>
  <c r="S51" i="3"/>
  <c r="T51" i="3" s="1"/>
  <c r="O51" i="3"/>
  <c r="M51" i="3"/>
  <c r="AC50" i="3"/>
  <c r="AD50" i="3" s="1"/>
  <c r="AB50" i="3"/>
  <c r="Y50" i="3"/>
  <c r="W50" i="3"/>
  <c r="S50" i="3"/>
  <c r="U50" i="3" s="1"/>
  <c r="Z50" i="3" s="1"/>
  <c r="O50" i="3"/>
  <c r="M50" i="3"/>
  <c r="AC49" i="3"/>
  <c r="AD49" i="3" s="1"/>
  <c r="AB49" i="3"/>
  <c r="Y49" i="3"/>
  <c r="W49" i="3"/>
  <c r="S49" i="3"/>
  <c r="T49" i="3" s="1"/>
  <c r="O49" i="3"/>
  <c r="M49" i="3"/>
  <c r="AC48" i="3"/>
  <c r="AD48" i="3" s="1"/>
  <c r="AB48" i="3"/>
  <c r="Y48" i="3"/>
  <c r="W48" i="3"/>
  <c r="S48" i="3"/>
  <c r="U48" i="3" s="1"/>
  <c r="Z48" i="3" s="1"/>
  <c r="O48" i="3"/>
  <c r="M48" i="3"/>
  <c r="AC47" i="3"/>
  <c r="AD47" i="3" s="1"/>
  <c r="AB47" i="3"/>
  <c r="Y47" i="3"/>
  <c r="W47" i="3"/>
  <c r="S47" i="3"/>
  <c r="T47" i="3" s="1"/>
  <c r="O47" i="3"/>
  <c r="M47" i="3"/>
  <c r="AC46" i="3"/>
  <c r="AD46" i="3" s="1"/>
  <c r="AB46" i="3"/>
  <c r="Y46" i="3"/>
  <c r="W46" i="3"/>
  <c r="S46" i="3"/>
  <c r="T46" i="3" s="1"/>
  <c r="O46" i="3"/>
  <c r="M46" i="3"/>
  <c r="AC45" i="3"/>
  <c r="AD45" i="3" s="1"/>
  <c r="AB45" i="3"/>
  <c r="Y45" i="3"/>
  <c r="W45" i="3"/>
  <c r="S45" i="3"/>
  <c r="T45" i="3" s="1"/>
  <c r="O45" i="3"/>
  <c r="M45" i="3"/>
  <c r="AC44" i="3"/>
  <c r="AD44" i="3" s="1"/>
  <c r="AB44" i="3"/>
  <c r="Y44" i="3"/>
  <c r="W44" i="3"/>
  <c r="S44" i="3"/>
  <c r="U44" i="3" s="1"/>
  <c r="Z44" i="3" s="1"/>
  <c r="O44" i="3"/>
  <c r="M44" i="3"/>
  <c r="AC43" i="3"/>
  <c r="AD43" i="3" s="1"/>
  <c r="AB43" i="3"/>
  <c r="Y43" i="3"/>
  <c r="W43" i="3"/>
  <c r="S43" i="3"/>
  <c r="T43" i="3" s="1"/>
  <c r="O43" i="3"/>
  <c r="M43" i="3"/>
  <c r="AC42" i="3"/>
  <c r="AD42" i="3" s="1"/>
  <c r="AB42" i="3"/>
  <c r="Y42" i="3"/>
  <c r="W42" i="3"/>
  <c r="S42" i="3"/>
  <c r="O42" i="3"/>
  <c r="M42" i="3"/>
  <c r="AC41" i="3"/>
  <c r="AD41" i="3" s="1"/>
  <c r="AB41" i="3"/>
  <c r="Y41" i="3"/>
  <c r="W41" i="3"/>
  <c r="S41" i="3"/>
  <c r="T41" i="3" s="1"/>
  <c r="P41" i="3"/>
  <c r="N41" i="3"/>
  <c r="AC40" i="3"/>
  <c r="AD40" i="3" s="1"/>
  <c r="AB40" i="3"/>
  <c r="Y40" i="3"/>
  <c r="W40" i="3"/>
  <c r="S40" i="3"/>
  <c r="U40" i="3" s="1"/>
  <c r="Z40" i="3" s="1"/>
  <c r="P40" i="3"/>
  <c r="N40" i="3"/>
  <c r="AC39" i="3"/>
  <c r="AD39" i="3" s="1"/>
  <c r="AB39" i="3"/>
  <c r="Y39" i="3"/>
  <c r="W39" i="3"/>
  <c r="S39" i="3"/>
  <c r="T39" i="3" s="1"/>
  <c r="P39" i="3"/>
  <c r="N39" i="3"/>
  <c r="AC38" i="3"/>
  <c r="AD38" i="3" s="1"/>
  <c r="AB38" i="3"/>
  <c r="Y38" i="3"/>
  <c r="W38" i="3"/>
  <c r="S38" i="3"/>
  <c r="U38" i="3" s="1"/>
  <c r="Z38" i="3" s="1"/>
  <c r="P38" i="3"/>
  <c r="N38" i="3"/>
  <c r="AC37" i="3"/>
  <c r="AD37" i="3" s="1"/>
  <c r="AB37" i="3"/>
  <c r="Y37" i="3"/>
  <c r="W37" i="3"/>
  <c r="S37" i="3"/>
  <c r="T37" i="3" s="1"/>
  <c r="P37" i="3"/>
  <c r="N37" i="3"/>
  <c r="AC36" i="3"/>
  <c r="AD36" i="3" s="1"/>
  <c r="AB36" i="3"/>
  <c r="Y36" i="3"/>
  <c r="W36" i="3"/>
  <c r="S36" i="3"/>
  <c r="U36" i="3" s="1"/>
  <c r="Z36" i="3" s="1"/>
  <c r="P36" i="3"/>
  <c r="N36" i="3"/>
  <c r="AC35" i="3"/>
  <c r="AD35" i="3" s="1"/>
  <c r="AB35" i="3"/>
  <c r="Y35" i="3"/>
  <c r="W35" i="3"/>
  <c r="S35" i="3"/>
  <c r="T35" i="3" s="1"/>
  <c r="P35" i="3"/>
  <c r="N35" i="3"/>
  <c r="AC34" i="3"/>
  <c r="AD34" i="3" s="1"/>
  <c r="AB34" i="3"/>
  <c r="Y34" i="3"/>
  <c r="W34" i="3"/>
  <c r="S34" i="3"/>
  <c r="U34" i="3" s="1"/>
  <c r="Z34" i="3" s="1"/>
  <c r="P34" i="3"/>
  <c r="N34" i="3"/>
  <c r="AC33" i="3"/>
  <c r="AD33" i="3" s="1"/>
  <c r="AB33" i="3"/>
  <c r="Y33" i="3"/>
  <c r="W33" i="3"/>
  <c r="S33" i="3"/>
  <c r="T33" i="3" s="1"/>
  <c r="P33" i="3"/>
  <c r="N33" i="3"/>
  <c r="AC32" i="3"/>
  <c r="AD32" i="3" s="1"/>
  <c r="AB32" i="3"/>
  <c r="Y32" i="3"/>
  <c r="W32" i="3"/>
  <c r="S32" i="3"/>
  <c r="U32" i="3" s="1"/>
  <c r="Z32" i="3" s="1"/>
  <c r="P32" i="3"/>
  <c r="N32" i="3"/>
  <c r="AC31" i="3"/>
  <c r="AD31" i="3" s="1"/>
  <c r="AB31" i="3"/>
  <c r="Y31" i="3"/>
  <c r="W31" i="3"/>
  <c r="S31" i="3"/>
  <c r="P31" i="3"/>
  <c r="N31" i="3"/>
  <c r="AC30" i="3"/>
  <c r="AD30" i="3" s="1"/>
  <c r="AB30" i="3"/>
  <c r="Y30" i="3"/>
  <c r="W30" i="3"/>
  <c r="S30" i="3"/>
  <c r="U30" i="3" s="1"/>
  <c r="Z30" i="3" s="1"/>
  <c r="P30" i="3"/>
  <c r="N30" i="3"/>
  <c r="AC29" i="3"/>
  <c r="AD29" i="3" s="1"/>
  <c r="AB29" i="3"/>
  <c r="Y29" i="3"/>
  <c r="W29" i="3"/>
  <c r="S29" i="3"/>
  <c r="T29" i="3" s="1"/>
  <c r="P29" i="3"/>
  <c r="N29" i="3"/>
  <c r="AC28" i="3"/>
  <c r="AD28" i="3" s="1"/>
  <c r="AB28" i="3"/>
  <c r="Y28" i="3"/>
  <c r="W28" i="3"/>
  <c r="S28" i="3"/>
  <c r="U28" i="3" s="1"/>
  <c r="Z28" i="3" s="1"/>
  <c r="P28" i="3"/>
  <c r="N28" i="3"/>
  <c r="AC27" i="3"/>
  <c r="AD27" i="3" s="1"/>
  <c r="AB27" i="3"/>
  <c r="Y27" i="3"/>
  <c r="W27" i="3"/>
  <c r="S27" i="3"/>
  <c r="P27" i="3"/>
  <c r="N27" i="3"/>
  <c r="AC26" i="3"/>
  <c r="AD26" i="3" s="1"/>
  <c r="AB26" i="3"/>
  <c r="Y26" i="3"/>
  <c r="W26" i="3"/>
  <c r="S26" i="3"/>
  <c r="U26" i="3" s="1"/>
  <c r="Z26" i="3" s="1"/>
  <c r="P26" i="3"/>
  <c r="N26" i="3"/>
  <c r="AC25" i="3"/>
  <c r="AD25" i="3" s="1"/>
  <c r="AB25" i="3"/>
  <c r="Y25" i="3"/>
  <c r="W25" i="3"/>
  <c r="S25" i="3"/>
  <c r="T25" i="3" s="1"/>
  <c r="P25" i="3"/>
  <c r="N25" i="3"/>
  <c r="AC24" i="3"/>
  <c r="AD24" i="3" s="1"/>
  <c r="AB24" i="3"/>
  <c r="Y24" i="3"/>
  <c r="W24" i="3"/>
  <c r="S24" i="3"/>
  <c r="U24" i="3" s="1"/>
  <c r="Z24" i="3" s="1"/>
  <c r="P24" i="3"/>
  <c r="N24" i="3"/>
  <c r="AC23" i="3"/>
  <c r="AD23" i="3" s="1"/>
  <c r="AB23" i="3"/>
  <c r="Y23" i="3"/>
  <c r="W23" i="3"/>
  <c r="S23" i="3"/>
  <c r="P23" i="3"/>
  <c r="N23" i="3"/>
  <c r="AC22" i="3"/>
  <c r="AD22" i="3" s="1"/>
  <c r="AB22" i="3"/>
  <c r="Y22" i="3"/>
  <c r="W22" i="3"/>
  <c r="S22" i="3"/>
  <c r="U22" i="3" s="1"/>
  <c r="Z22" i="3" s="1"/>
  <c r="P22" i="3"/>
  <c r="N22" i="3"/>
  <c r="AC21" i="3"/>
  <c r="AD21" i="3" s="1"/>
  <c r="AB21" i="3"/>
  <c r="Y21" i="3"/>
  <c r="W21" i="3"/>
  <c r="S21" i="3"/>
  <c r="T21" i="3" s="1"/>
  <c r="P21" i="3"/>
  <c r="N21" i="3"/>
  <c r="AC20" i="3"/>
  <c r="AD20" i="3" s="1"/>
  <c r="AB20" i="3"/>
  <c r="Y20" i="3"/>
  <c r="W20" i="3"/>
  <c r="S20" i="3"/>
  <c r="U20" i="3" s="1"/>
  <c r="Z20" i="3" s="1"/>
  <c r="P20" i="3"/>
  <c r="N20" i="3"/>
  <c r="AC19" i="3"/>
  <c r="AD19" i="3" s="1"/>
  <c r="AB19" i="3"/>
  <c r="Y19" i="3"/>
  <c r="W19" i="3"/>
  <c r="S19" i="3"/>
  <c r="P19" i="3"/>
  <c r="N19" i="3"/>
  <c r="AC18" i="3"/>
  <c r="AD18" i="3" s="1"/>
  <c r="AB18" i="3"/>
  <c r="Y18" i="3"/>
  <c r="W18" i="3"/>
  <c r="S18" i="3"/>
  <c r="U18" i="3" s="1"/>
  <c r="Z18" i="3" s="1"/>
  <c r="P18" i="3"/>
  <c r="N18" i="3"/>
  <c r="AC17" i="3"/>
  <c r="AD17" i="3" s="1"/>
  <c r="AB17" i="3"/>
  <c r="Y17" i="3"/>
  <c r="W17" i="3"/>
  <c r="S17" i="3"/>
  <c r="T17" i="3" s="1"/>
  <c r="P17" i="3"/>
  <c r="N17" i="3"/>
  <c r="AC16" i="3"/>
  <c r="AD16" i="3" s="1"/>
  <c r="AB16" i="3"/>
  <c r="Y16" i="3"/>
  <c r="W16" i="3"/>
  <c r="S16" i="3"/>
  <c r="U16" i="3" s="1"/>
  <c r="Z16" i="3" s="1"/>
  <c r="P16" i="3"/>
  <c r="N16" i="3"/>
  <c r="AC15" i="3"/>
  <c r="AD15" i="3" s="1"/>
  <c r="AB15" i="3"/>
  <c r="Y15" i="3"/>
  <c r="W15" i="3"/>
  <c r="S15" i="3"/>
  <c r="P15" i="3"/>
  <c r="N15" i="3"/>
  <c r="AC14" i="3"/>
  <c r="AD14" i="3" s="1"/>
  <c r="AB14" i="3"/>
  <c r="Y14" i="3"/>
  <c r="W14" i="3"/>
  <c r="S14" i="3"/>
  <c r="U14" i="3" s="1"/>
  <c r="Z14" i="3" s="1"/>
  <c r="P14" i="3"/>
  <c r="N14" i="3"/>
  <c r="AC13" i="3"/>
  <c r="AD13" i="3" s="1"/>
  <c r="AB13" i="3"/>
  <c r="Y13" i="3"/>
  <c r="W13" i="3"/>
  <c r="S13" i="3"/>
  <c r="T13" i="3" s="1"/>
  <c r="P13" i="3"/>
  <c r="N13" i="3"/>
  <c r="AC12" i="3"/>
  <c r="AD12" i="3" s="1"/>
  <c r="AB12" i="3"/>
  <c r="Y12" i="3"/>
  <c r="W12" i="3"/>
  <c r="S12" i="3"/>
  <c r="U12" i="3" s="1"/>
  <c r="Z12" i="3" s="1"/>
  <c r="P12" i="3"/>
  <c r="N12" i="3"/>
  <c r="AC11" i="3"/>
  <c r="AD11" i="3" s="1"/>
  <c r="AB11" i="3"/>
  <c r="Y11" i="3"/>
  <c r="W11" i="3"/>
  <c r="S11" i="3"/>
  <c r="P11" i="3"/>
  <c r="N11" i="3"/>
  <c r="AC10" i="3"/>
  <c r="AD10" i="3" s="1"/>
  <c r="AB10" i="3"/>
  <c r="Y10" i="3"/>
  <c r="W10" i="3"/>
  <c r="S10" i="3"/>
  <c r="U10" i="3" s="1"/>
  <c r="Z10" i="3" s="1"/>
  <c r="P10" i="3"/>
  <c r="N10" i="3"/>
  <c r="AC9" i="3"/>
  <c r="AD9" i="3" s="1"/>
  <c r="AB9" i="3"/>
  <c r="Y9" i="3"/>
  <c r="W9" i="3"/>
  <c r="S9" i="3"/>
  <c r="T9" i="3" s="1"/>
  <c r="P9" i="3"/>
  <c r="N9" i="3"/>
  <c r="AC8" i="3"/>
  <c r="AD8" i="3" s="1"/>
  <c r="AB8" i="3"/>
  <c r="Y8" i="3"/>
  <c r="W8" i="3"/>
  <c r="S8" i="3"/>
  <c r="U8" i="3" s="1"/>
  <c r="Z8" i="3" s="1"/>
  <c r="P8" i="3"/>
  <c r="N8" i="3"/>
  <c r="AC7" i="3"/>
  <c r="AD7" i="3" s="1"/>
  <c r="AB7" i="3"/>
  <c r="Y7" i="3"/>
  <c r="W7" i="3"/>
  <c r="S7" i="3"/>
  <c r="P7" i="3"/>
  <c r="N7" i="3"/>
  <c r="AC6" i="3"/>
  <c r="AD6" i="3" s="1"/>
  <c r="AB6" i="3"/>
  <c r="Y6" i="3"/>
  <c r="W6" i="3"/>
  <c r="S6" i="3"/>
  <c r="U6" i="3" s="1"/>
  <c r="Z6" i="3" s="1"/>
  <c r="P6" i="3"/>
  <c r="N6" i="3"/>
  <c r="AC5" i="3"/>
  <c r="AD5" i="3" s="1"/>
  <c r="AB5" i="3"/>
  <c r="Y5" i="3"/>
  <c r="W5" i="3"/>
  <c r="S5" i="3"/>
  <c r="T5" i="3" s="1"/>
  <c r="P5" i="3"/>
  <c r="N5" i="3"/>
  <c r="AC4" i="3"/>
  <c r="AD4" i="3" s="1"/>
  <c r="AB4" i="3"/>
  <c r="Y4" i="3"/>
  <c r="W4" i="3"/>
  <c r="S4" i="3"/>
  <c r="U4" i="3" s="1"/>
  <c r="Z4" i="3" s="1"/>
  <c r="P4" i="3"/>
  <c r="N4" i="3"/>
  <c r="AC3" i="3"/>
  <c r="AD3" i="3" s="1"/>
  <c r="AB3" i="3"/>
  <c r="Y3" i="3"/>
  <c r="W3" i="3"/>
  <c r="S3" i="3"/>
  <c r="P3" i="3"/>
  <c r="N3" i="3"/>
  <c r="AC2" i="3"/>
  <c r="AD2" i="3" s="1"/>
  <c r="AB2" i="3"/>
  <c r="Y2" i="3"/>
  <c r="W2" i="3"/>
  <c r="S2" i="3"/>
  <c r="T2" i="3" s="1"/>
  <c r="P2" i="3"/>
  <c r="N2" i="3"/>
  <c r="C33" i="7"/>
  <c r="R36" i="7"/>
  <c r="Q35" i="7" l="1"/>
  <c r="Q37" i="7" s="1"/>
  <c r="Q36" i="2"/>
  <c r="N42" i="2"/>
  <c r="U138" i="3"/>
  <c r="Z138" i="3" s="1"/>
  <c r="R139" i="3"/>
  <c r="R138" i="3"/>
  <c r="T139" i="3"/>
  <c r="R140" i="3"/>
  <c r="T140" i="3"/>
  <c r="R115" i="3"/>
  <c r="R114" i="3"/>
  <c r="R113" i="3"/>
  <c r="Q95" i="3"/>
  <c r="U114" i="3"/>
  <c r="Z114" i="3" s="1"/>
  <c r="T115" i="3"/>
  <c r="T113" i="3"/>
  <c r="Q93" i="3"/>
  <c r="U95" i="3"/>
  <c r="Z95" i="3" s="1"/>
  <c r="T94" i="3"/>
  <c r="Q94" i="3"/>
  <c r="T93" i="3"/>
  <c r="U87" i="3"/>
  <c r="Z87" i="3" s="1"/>
  <c r="T89" i="3"/>
  <c r="R89" i="3"/>
  <c r="R87" i="3"/>
  <c r="R88" i="3"/>
  <c r="U88" i="3"/>
  <c r="Z88" i="3" s="1"/>
  <c r="Q53" i="3"/>
  <c r="U56" i="3"/>
  <c r="Z56" i="3" s="1"/>
  <c r="T55" i="3"/>
  <c r="U54" i="3"/>
  <c r="Z54" i="3" s="1"/>
  <c r="Q55" i="3"/>
  <c r="Q54" i="3"/>
  <c r="Q56" i="3"/>
  <c r="T32" i="3"/>
  <c r="T40" i="3"/>
  <c r="U37" i="3"/>
  <c r="Z37" i="3" s="1"/>
  <c r="Z63" i="3"/>
  <c r="Z67" i="3"/>
  <c r="Z71" i="3"/>
  <c r="Z75" i="3"/>
  <c r="Z83" i="3"/>
  <c r="Z103" i="3"/>
  <c r="Z107" i="3"/>
  <c r="T18" i="3"/>
  <c r="Z65" i="3"/>
  <c r="Z69" i="3"/>
  <c r="Z77" i="3"/>
  <c r="Z81" i="3"/>
  <c r="Z85" i="3"/>
  <c r="Z97" i="3"/>
  <c r="Z101" i="3"/>
  <c r="Z105" i="3"/>
  <c r="Z109" i="3"/>
  <c r="T14" i="3"/>
  <c r="T38" i="3"/>
  <c r="U41" i="3"/>
  <c r="Z41" i="3" s="1"/>
  <c r="T105" i="3"/>
  <c r="U106" i="3"/>
  <c r="T61" i="3"/>
  <c r="T63" i="3"/>
  <c r="U64" i="3"/>
  <c r="Z61" i="3" s="1"/>
  <c r="T16" i="3"/>
  <c r="T50" i="3"/>
  <c r="T52" i="3"/>
  <c r="U53" i="3"/>
  <c r="Z53" i="3" s="1"/>
  <c r="T101" i="3"/>
  <c r="U111" i="3"/>
  <c r="U17" i="3"/>
  <c r="Z17" i="3" s="1"/>
  <c r="U46" i="3"/>
  <c r="Z46" i="3" s="1"/>
  <c r="T69" i="3"/>
  <c r="T71" i="3"/>
  <c r="U72" i="3"/>
  <c r="T118" i="3"/>
  <c r="T6" i="3"/>
  <c r="T8" i="3"/>
  <c r="U9" i="3"/>
  <c r="Z9" i="3" s="1"/>
  <c r="T10" i="3"/>
  <c r="U76" i="3"/>
  <c r="T99" i="3"/>
  <c r="T103" i="3"/>
  <c r="T90" i="3"/>
  <c r="T122" i="3"/>
  <c r="U13" i="3"/>
  <c r="Z13" i="3" s="1"/>
  <c r="T30" i="3"/>
  <c r="U79" i="3"/>
  <c r="Z73" i="3" s="1"/>
  <c r="U80" i="3"/>
  <c r="T85" i="3"/>
  <c r="U91" i="3"/>
  <c r="R14" i="3"/>
  <c r="R102" i="3"/>
  <c r="R18" i="3"/>
  <c r="R103" i="3"/>
  <c r="R107" i="3"/>
  <c r="R125" i="3"/>
  <c r="R17" i="3"/>
  <c r="R70" i="3"/>
  <c r="R72" i="3"/>
  <c r="R73" i="3"/>
  <c r="R8" i="3"/>
  <c r="R28" i="3"/>
  <c r="R24" i="3"/>
  <c r="R7" i="3"/>
  <c r="R15" i="3"/>
  <c r="R31" i="3"/>
  <c r="Q48" i="3"/>
  <c r="R61" i="3"/>
  <c r="Q63" i="3"/>
  <c r="Q65" i="3"/>
  <c r="R80" i="3"/>
  <c r="R81" i="3"/>
  <c r="Q120" i="3"/>
  <c r="R123" i="3"/>
  <c r="R5" i="3"/>
  <c r="R32" i="3"/>
  <c r="R40" i="3"/>
  <c r="Q49" i="3"/>
  <c r="R82" i="3"/>
  <c r="R110" i="3"/>
  <c r="R124" i="3"/>
  <c r="R27" i="3"/>
  <c r="Q43" i="3"/>
  <c r="Q67" i="3"/>
  <c r="R2" i="3"/>
  <c r="R16" i="3"/>
  <c r="R21" i="3"/>
  <c r="R33" i="3"/>
  <c r="R36" i="3"/>
  <c r="R41" i="3"/>
  <c r="R57" i="3"/>
  <c r="Q64" i="3"/>
  <c r="R79" i="3"/>
  <c r="R96" i="3"/>
  <c r="R112" i="3"/>
  <c r="Q68" i="3"/>
  <c r="R71" i="3"/>
  <c r="R101" i="3"/>
  <c r="Q118" i="3"/>
  <c r="R35" i="3"/>
  <c r="R22" i="3"/>
  <c r="Q37" i="2"/>
  <c r="O37" i="2"/>
  <c r="P37" i="2"/>
  <c r="U5" i="3"/>
  <c r="Z5" i="3" s="1"/>
  <c r="R11" i="3"/>
  <c r="R12" i="3"/>
  <c r="T12" i="3"/>
  <c r="R13" i="3"/>
  <c r="T22" i="3"/>
  <c r="U25" i="3"/>
  <c r="Z25" i="3" s="1"/>
  <c r="T26" i="3"/>
  <c r="U29" i="3"/>
  <c r="Z29" i="3" s="1"/>
  <c r="T34" i="3"/>
  <c r="T36" i="3"/>
  <c r="R3" i="3"/>
  <c r="R4" i="3"/>
  <c r="T4" i="3"/>
  <c r="R6" i="3"/>
  <c r="R9" i="3"/>
  <c r="R10" i="3"/>
  <c r="U21" i="3"/>
  <c r="Z21" i="3" s="1"/>
  <c r="R23" i="3"/>
  <c r="T28" i="3"/>
  <c r="R30" i="3"/>
  <c r="U33" i="3"/>
  <c r="Z33" i="3" s="1"/>
  <c r="R37" i="3"/>
  <c r="R19" i="3"/>
  <c r="R20" i="3"/>
  <c r="T20" i="3"/>
  <c r="T24" i="3"/>
  <c r="R25" i="3"/>
  <c r="R26" i="3"/>
  <c r="R29" i="3"/>
  <c r="R34" i="3"/>
  <c r="R38" i="3"/>
  <c r="R39" i="3"/>
  <c r="U42" i="3"/>
  <c r="Z42" i="3" s="1"/>
  <c r="T42" i="3"/>
  <c r="U84" i="3"/>
  <c r="U98" i="3"/>
  <c r="U110" i="3"/>
  <c r="T116" i="3"/>
  <c r="U121" i="3"/>
  <c r="Z106" i="3" s="1"/>
  <c r="T124" i="3"/>
  <c r="T44" i="3"/>
  <c r="Q46" i="3"/>
  <c r="U49" i="3"/>
  <c r="Z49" i="3" s="1"/>
  <c r="Q50" i="3"/>
  <c r="Q52" i="3"/>
  <c r="T57" i="3"/>
  <c r="R58" i="3"/>
  <c r="R59" i="3"/>
  <c r="T59" i="3"/>
  <c r="R60" i="3"/>
  <c r="U68" i="3"/>
  <c r="T73" i="3"/>
  <c r="R74" i="3"/>
  <c r="R75" i="3"/>
  <c r="T75" i="3"/>
  <c r="R77" i="3"/>
  <c r="R78" i="3"/>
  <c r="T81" i="3"/>
  <c r="R83" i="3"/>
  <c r="T83" i="3"/>
  <c r="R85" i="3"/>
  <c r="R86" i="3"/>
  <c r="Q91" i="3"/>
  <c r="T92" i="3"/>
  <c r="R97" i="3"/>
  <c r="T97" i="3"/>
  <c r="R99" i="3"/>
  <c r="R100" i="3"/>
  <c r="R104" i="3"/>
  <c r="R105" i="3"/>
  <c r="R106" i="3"/>
  <c r="R111" i="3"/>
  <c r="Q116" i="3"/>
  <c r="Q117" i="3"/>
  <c r="Q119" i="3"/>
  <c r="R122" i="3"/>
  <c r="Q42" i="3"/>
  <c r="Q44" i="3"/>
  <c r="Q45" i="3"/>
  <c r="Q47" i="3"/>
  <c r="R62" i="3"/>
  <c r="Q66" i="3"/>
  <c r="R69" i="3"/>
  <c r="R76" i="3"/>
  <c r="R84" i="3"/>
  <c r="Q90" i="3"/>
  <c r="Q92" i="3"/>
  <c r="R98" i="3"/>
  <c r="U102" i="3"/>
  <c r="Z90" i="3" s="1"/>
  <c r="T107" i="3"/>
  <c r="R108" i="3"/>
  <c r="R109" i="3"/>
  <c r="T109" i="3"/>
  <c r="U117" i="3"/>
  <c r="T120" i="3"/>
  <c r="R121" i="3"/>
  <c r="U125" i="3"/>
  <c r="Z110" i="3" s="1"/>
  <c r="U45" i="3"/>
  <c r="Z45" i="3" s="1"/>
  <c r="T48" i="3"/>
  <c r="Q51" i="3"/>
  <c r="U60" i="3"/>
  <c r="Z57" i="3" s="1"/>
  <c r="T65" i="3"/>
  <c r="T67" i="3"/>
  <c r="T77" i="3"/>
  <c r="T27" i="3"/>
  <c r="U27" i="3"/>
  <c r="Z27" i="3" s="1"/>
  <c r="T7" i="3"/>
  <c r="U7" i="3"/>
  <c r="Z7" i="3" s="1"/>
  <c r="T11" i="3"/>
  <c r="U11" i="3"/>
  <c r="Z11" i="3" s="1"/>
  <c r="T3" i="3"/>
  <c r="U3" i="3"/>
  <c r="Z3" i="3" s="1"/>
  <c r="T19" i="3"/>
  <c r="U19" i="3"/>
  <c r="Z19" i="3" s="1"/>
  <c r="T31" i="3"/>
  <c r="U31" i="3"/>
  <c r="Z31" i="3" s="1"/>
  <c r="T15" i="3"/>
  <c r="U15" i="3"/>
  <c r="Z15" i="3" s="1"/>
  <c r="T23" i="3"/>
  <c r="U23" i="3"/>
  <c r="Z23" i="3" s="1"/>
  <c r="U35" i="3"/>
  <c r="Z35" i="3" s="1"/>
  <c r="U39" i="3"/>
  <c r="Z39" i="3" s="1"/>
  <c r="U43" i="3"/>
  <c r="Z43" i="3" s="1"/>
  <c r="U47" i="3"/>
  <c r="Z47" i="3" s="1"/>
  <c r="U51" i="3"/>
  <c r="Z51" i="3" s="1"/>
  <c r="U58" i="3"/>
  <c r="U62" i="3"/>
  <c r="Z59" i="3" s="1"/>
  <c r="U66" i="3"/>
  <c r="U70" i="3"/>
  <c r="U74" i="3"/>
  <c r="U78" i="3"/>
  <c r="U82" i="3"/>
  <c r="U86" i="3"/>
  <c r="U96" i="3"/>
  <c r="U100" i="3"/>
  <c r="U104" i="3"/>
  <c r="Z92" i="3" s="1"/>
  <c r="U108" i="3"/>
  <c r="U112" i="3"/>
  <c r="Z112" i="3" s="1"/>
  <c r="U119" i="3"/>
  <c r="U123" i="3"/>
  <c r="U2" i="3"/>
  <c r="Z99" i="3" l="1"/>
  <c r="Z111" i="3"/>
  <c r="Z72" i="3"/>
  <c r="Z64" i="3"/>
  <c r="Z76" i="3"/>
  <c r="Z96" i="3"/>
  <c r="Z80" i="3"/>
  <c r="Z108" i="3"/>
  <c r="Z100" i="3"/>
  <c r="Z84" i="3"/>
  <c r="Z68" i="3"/>
  <c r="Z102" i="3"/>
  <c r="Z74" i="3"/>
  <c r="Z70" i="3"/>
  <c r="Z79" i="3"/>
  <c r="Z98" i="3"/>
  <c r="Z62" i="3"/>
  <c r="Z86" i="3"/>
  <c r="Z82" i="3"/>
  <c r="Z66" i="3"/>
  <c r="Z60" i="3"/>
  <c r="Z91" i="3"/>
  <c r="Z58" i="3"/>
  <c r="Z104" i="3"/>
  <c r="Z78" i="3"/>
  <c r="Z2" i="3"/>
  <c r="N35" i="2" l="1"/>
  <c r="M35" i="2"/>
  <c r="L35" i="2"/>
  <c r="K35" i="2"/>
  <c r="J35" i="2"/>
  <c r="I35" i="2"/>
  <c r="H35" i="2"/>
  <c r="G35" i="2"/>
  <c r="F35" i="2"/>
  <c r="D35" i="2"/>
  <c r="C35" i="2"/>
  <c r="E4" i="2"/>
  <c r="S4" i="2" s="1"/>
  <c r="E21" i="2"/>
  <c r="S21" i="2" s="1"/>
  <c r="N33" i="7"/>
  <c r="M13" i="7"/>
  <c r="L13" i="7"/>
  <c r="M33" i="7"/>
  <c r="L33" i="7"/>
  <c r="I33" i="7"/>
  <c r="K33" i="7"/>
  <c r="J33" i="7"/>
  <c r="H33" i="7"/>
  <c r="G33" i="7"/>
  <c r="F33" i="7"/>
  <c r="E33" i="7"/>
  <c r="D33" i="7"/>
  <c r="R16" i="7"/>
  <c r="C13" i="7"/>
  <c r="N13" i="7"/>
  <c r="K13" i="7"/>
  <c r="J13" i="7"/>
  <c r="I13" i="7"/>
  <c r="H13" i="7"/>
  <c r="G13" i="7"/>
  <c r="F13" i="7"/>
  <c r="E13" i="7"/>
  <c r="D13" i="7"/>
  <c r="P15" i="7" l="1"/>
  <c r="P17" i="7" s="1"/>
  <c r="Q15" i="7"/>
  <c r="Q17" i="7" s="1"/>
  <c r="O15" i="7"/>
  <c r="O17" i="7" s="1"/>
  <c r="C35" i="7"/>
  <c r="C37" i="7" s="1"/>
  <c r="O35" i="7"/>
  <c r="O37" i="7" s="1"/>
  <c r="P35" i="7"/>
  <c r="P37" i="7" s="1"/>
  <c r="L35" i="7"/>
  <c r="H35" i="7"/>
  <c r="M35" i="7"/>
  <c r="M37" i="7" s="1"/>
  <c r="I35" i="7"/>
  <c r="E35" i="7"/>
  <c r="E37" i="7" s="1"/>
  <c r="N35" i="7"/>
  <c r="J35" i="7"/>
  <c r="F35" i="7"/>
  <c r="K35" i="7"/>
  <c r="G35" i="7"/>
  <c r="D35" i="7"/>
  <c r="C15" i="7"/>
  <c r="C17" i="7" s="1"/>
  <c r="I15" i="7"/>
  <c r="D15" i="7"/>
  <c r="H15" i="7"/>
  <c r="F15" i="7"/>
  <c r="K15" i="7"/>
  <c r="L15" i="7"/>
  <c r="E15" i="7"/>
  <c r="J15" i="7"/>
  <c r="N15" i="7"/>
  <c r="N17" i="7" s="1"/>
  <c r="M15" i="7"/>
  <c r="G15" i="7"/>
  <c r="E38" i="7" l="1"/>
  <c r="O38" i="7"/>
  <c r="P38" i="7"/>
  <c r="Q38" i="7"/>
  <c r="K37" i="7"/>
  <c r="K38" i="7" s="1"/>
  <c r="L37" i="7"/>
  <c r="L38" i="7" s="1"/>
  <c r="H37" i="7"/>
  <c r="H38" i="7" s="1"/>
  <c r="D37" i="7"/>
  <c r="G37" i="7"/>
  <c r="G38" i="7" s="1"/>
  <c r="J37" i="7"/>
  <c r="J38" i="7" s="1"/>
  <c r="F37" i="7"/>
  <c r="F38" i="7" s="1"/>
  <c r="I37" i="7"/>
  <c r="I38" i="7" s="1"/>
  <c r="R35" i="7"/>
  <c r="N37" i="7"/>
  <c r="N38" i="7" s="1"/>
  <c r="E17" i="7"/>
  <c r="J17" i="7"/>
  <c r="D17" i="7"/>
  <c r="I17" i="7"/>
  <c r="L17" i="7"/>
  <c r="H17" i="7"/>
  <c r="M17" i="7"/>
  <c r="F17" i="7"/>
  <c r="G17" i="7"/>
  <c r="K17" i="7"/>
  <c r="R15" i="7"/>
  <c r="M38" i="7"/>
  <c r="H13" i="5"/>
  <c r="H12" i="5"/>
  <c r="H11" i="5"/>
  <c r="H10" i="5"/>
  <c r="H9" i="5"/>
  <c r="H8" i="5"/>
  <c r="H7" i="5"/>
  <c r="H6" i="5"/>
  <c r="H5" i="5"/>
  <c r="H4" i="5"/>
  <c r="H3" i="5"/>
  <c r="H2" i="5"/>
  <c r="M146" i="3" l="1"/>
  <c r="O144" i="3"/>
  <c r="M142" i="3"/>
  <c r="M144" i="3"/>
  <c r="M145" i="3"/>
  <c r="O143" i="3"/>
  <c r="M141" i="3"/>
  <c r="O142" i="3"/>
  <c r="Q142" i="3" s="1"/>
  <c r="V142" i="3" s="1"/>
  <c r="AA142" i="3" s="1"/>
  <c r="M143" i="3"/>
  <c r="O141" i="3"/>
  <c r="Q141" i="3" s="1"/>
  <c r="V141" i="3" s="1"/>
  <c r="AA141" i="3" s="1"/>
  <c r="O146" i="3"/>
  <c r="Q146" i="3" s="1"/>
  <c r="V146" i="3" s="1"/>
  <c r="AA146" i="3" s="1"/>
  <c r="O145" i="3"/>
  <c r="Q145" i="3" s="1"/>
  <c r="V145" i="3" s="1"/>
  <c r="AA145" i="3" s="1"/>
  <c r="M41" i="3"/>
  <c r="O139" i="3"/>
  <c r="M113" i="3"/>
  <c r="O115" i="3"/>
  <c r="Q115" i="3" s="1"/>
  <c r="V115" i="3" s="1"/>
  <c r="AA115" i="3" s="1"/>
  <c r="N93" i="3"/>
  <c r="P95" i="3"/>
  <c r="M89" i="3"/>
  <c r="P56" i="3"/>
  <c r="R56" i="3" s="1"/>
  <c r="V56" i="3" s="1"/>
  <c r="AA56" i="3" s="1"/>
  <c r="M140" i="3"/>
  <c r="O138" i="3"/>
  <c r="M114" i="3"/>
  <c r="N94" i="3"/>
  <c r="O88" i="3"/>
  <c r="O89" i="3"/>
  <c r="Q89" i="3" s="1"/>
  <c r="V89" i="3" s="1"/>
  <c r="AA89" i="3" s="1"/>
  <c r="P55" i="3"/>
  <c r="N54" i="3"/>
  <c r="P54" i="3"/>
  <c r="P53" i="3"/>
  <c r="M139" i="3"/>
  <c r="O113" i="3"/>
  <c r="Q113" i="3" s="1"/>
  <c r="V113" i="3" s="1"/>
  <c r="AA113" i="3" s="1"/>
  <c r="M115" i="3"/>
  <c r="P93" i="3"/>
  <c r="R93" i="3" s="1"/>
  <c r="V93" i="3" s="1"/>
  <c r="AA93" i="3" s="1"/>
  <c r="N95" i="3"/>
  <c r="M87" i="3"/>
  <c r="N56" i="3"/>
  <c r="N55" i="3"/>
  <c r="O140" i="3"/>
  <c r="Q140" i="3" s="1"/>
  <c r="V140" i="3" s="1"/>
  <c r="AA140" i="3" s="1"/>
  <c r="M138" i="3"/>
  <c r="O114" i="3"/>
  <c r="Q114" i="3" s="1"/>
  <c r="V114" i="3" s="1"/>
  <c r="AA114" i="3" s="1"/>
  <c r="P94" i="3"/>
  <c r="M88" i="3"/>
  <c r="N53" i="3"/>
  <c r="O87" i="3"/>
  <c r="E18" i="7"/>
  <c r="Q18" i="7"/>
  <c r="P18" i="7"/>
  <c r="O18" i="7"/>
  <c r="O125" i="3"/>
  <c r="M124" i="3"/>
  <c r="O123" i="3"/>
  <c r="M121" i="3"/>
  <c r="P118" i="3"/>
  <c r="O112" i="3"/>
  <c r="M110" i="3"/>
  <c r="O109" i="3"/>
  <c r="M108" i="3"/>
  <c r="O107" i="3"/>
  <c r="O102" i="3"/>
  <c r="M98" i="3"/>
  <c r="P92" i="3"/>
  <c r="N90" i="3"/>
  <c r="M84" i="3"/>
  <c r="O80" i="3"/>
  <c r="M76" i="3"/>
  <c r="O72" i="3"/>
  <c r="M71" i="3"/>
  <c r="O70" i="3"/>
  <c r="M69" i="3"/>
  <c r="P68" i="3"/>
  <c r="N67" i="3"/>
  <c r="P66" i="3"/>
  <c r="N65" i="3"/>
  <c r="M62" i="3"/>
  <c r="O61" i="3"/>
  <c r="P49" i="3"/>
  <c r="N48" i="3"/>
  <c r="P47" i="3"/>
  <c r="N45" i="3"/>
  <c r="P44" i="3"/>
  <c r="N43" i="3"/>
  <c r="P42" i="3"/>
  <c r="O41" i="3"/>
  <c r="M40" i="3"/>
  <c r="O39" i="3"/>
  <c r="M38" i="3"/>
  <c r="M122" i="3"/>
  <c r="N120" i="3"/>
  <c r="P119" i="3"/>
  <c r="N117" i="3"/>
  <c r="P116" i="3"/>
  <c r="M111" i="3"/>
  <c r="M106" i="3"/>
  <c r="O105" i="3"/>
  <c r="M104" i="3"/>
  <c r="O103" i="3"/>
  <c r="M101" i="3"/>
  <c r="O100" i="3"/>
  <c r="M99" i="3"/>
  <c r="O97" i="3"/>
  <c r="M96" i="3"/>
  <c r="N91" i="3"/>
  <c r="O86" i="3"/>
  <c r="M85" i="3"/>
  <c r="O83" i="3"/>
  <c r="M82" i="3"/>
  <c r="O81" i="3"/>
  <c r="M79" i="3"/>
  <c r="O78" i="3"/>
  <c r="M77" i="3"/>
  <c r="O75" i="3"/>
  <c r="M74" i="3"/>
  <c r="O73" i="3"/>
  <c r="P64" i="3"/>
  <c r="N63" i="3"/>
  <c r="M60" i="3"/>
  <c r="O59" i="3"/>
  <c r="M58" i="3"/>
  <c r="O57" i="3"/>
  <c r="P52" i="3"/>
  <c r="N51" i="3"/>
  <c r="P50" i="3"/>
  <c r="N46" i="3"/>
  <c r="M125" i="3"/>
  <c r="O124" i="3"/>
  <c r="M123" i="3"/>
  <c r="O121" i="3"/>
  <c r="N118" i="3"/>
  <c r="M112" i="3"/>
  <c r="O110" i="3"/>
  <c r="M109" i="3"/>
  <c r="O108" i="3"/>
  <c r="M107" i="3"/>
  <c r="M102" i="3"/>
  <c r="O98" i="3"/>
  <c r="N92" i="3"/>
  <c r="P90" i="3"/>
  <c r="O84" i="3"/>
  <c r="M80" i="3"/>
  <c r="O76" i="3"/>
  <c r="M72" i="3"/>
  <c r="O71" i="3"/>
  <c r="M70" i="3"/>
  <c r="O69" i="3"/>
  <c r="N68" i="3"/>
  <c r="P67" i="3"/>
  <c r="N66" i="3"/>
  <c r="P65" i="3"/>
  <c r="O62" i="3"/>
  <c r="M61" i="3"/>
  <c r="N49" i="3"/>
  <c r="P48" i="3"/>
  <c r="N47" i="3"/>
  <c r="P45" i="3"/>
  <c r="N44" i="3"/>
  <c r="P43" i="3"/>
  <c r="N42" i="3"/>
  <c r="O40" i="3"/>
  <c r="M39" i="3"/>
  <c r="O38" i="3"/>
  <c r="O122" i="3"/>
  <c r="P120" i="3"/>
  <c r="N119" i="3"/>
  <c r="P117" i="3"/>
  <c r="N116" i="3"/>
  <c r="O111" i="3"/>
  <c r="O106" i="3"/>
  <c r="M105" i="3"/>
  <c r="O104" i="3"/>
  <c r="M103" i="3"/>
  <c r="O101" i="3"/>
  <c r="M100" i="3"/>
  <c r="O99" i="3"/>
  <c r="M97" i="3"/>
  <c r="O96" i="3"/>
  <c r="P91" i="3"/>
  <c r="M86" i="3"/>
  <c r="O85" i="3"/>
  <c r="M83" i="3"/>
  <c r="O82" i="3"/>
  <c r="M81" i="3"/>
  <c r="O79" i="3"/>
  <c r="M78" i="3"/>
  <c r="O77" i="3"/>
  <c r="M75" i="3"/>
  <c r="O74" i="3"/>
  <c r="M73" i="3"/>
  <c r="N64" i="3"/>
  <c r="P63" i="3"/>
  <c r="O60" i="3"/>
  <c r="M59" i="3"/>
  <c r="O58" i="3"/>
  <c r="M57" i="3"/>
  <c r="N52" i="3"/>
  <c r="P51" i="3"/>
  <c r="R51" i="3" s="1"/>
  <c r="V51" i="3" s="1"/>
  <c r="AA51" i="3" s="1"/>
  <c r="N50" i="3"/>
  <c r="P46" i="3"/>
  <c r="M36" i="3"/>
  <c r="O35" i="3"/>
  <c r="M34" i="3"/>
  <c r="M29" i="3"/>
  <c r="M28" i="3"/>
  <c r="O27" i="3"/>
  <c r="M26" i="3"/>
  <c r="M25" i="3"/>
  <c r="M22" i="3"/>
  <c r="O20" i="3"/>
  <c r="M19" i="3"/>
  <c r="O16" i="3"/>
  <c r="M15" i="3"/>
  <c r="M8" i="3"/>
  <c r="M37" i="3"/>
  <c r="O33" i="3"/>
  <c r="M32" i="3"/>
  <c r="O31" i="3"/>
  <c r="M30" i="3"/>
  <c r="O24" i="3"/>
  <c r="M23" i="3"/>
  <c r="O21" i="3"/>
  <c r="O18" i="3"/>
  <c r="O17" i="3"/>
  <c r="O14" i="3"/>
  <c r="M10" i="3"/>
  <c r="M9" i="3"/>
  <c r="M6" i="3"/>
  <c r="O4" i="3"/>
  <c r="M3" i="3"/>
  <c r="O2" i="3"/>
  <c r="O36" i="3"/>
  <c r="M35" i="3"/>
  <c r="O34" i="3"/>
  <c r="O29" i="3"/>
  <c r="O28" i="3"/>
  <c r="M27" i="3"/>
  <c r="O26" i="3"/>
  <c r="O25" i="3"/>
  <c r="O22" i="3"/>
  <c r="M20" i="3"/>
  <c r="O19" i="3"/>
  <c r="M16" i="3"/>
  <c r="O15" i="3"/>
  <c r="M13" i="3"/>
  <c r="O12" i="3"/>
  <c r="M11" i="3"/>
  <c r="O8" i="3"/>
  <c r="M7" i="3"/>
  <c r="O5" i="3"/>
  <c r="M2" i="3"/>
  <c r="M12" i="3"/>
  <c r="O37" i="3"/>
  <c r="M33" i="3"/>
  <c r="O32" i="3"/>
  <c r="M31" i="3"/>
  <c r="O30" i="3"/>
  <c r="M24" i="3"/>
  <c r="O23" i="3"/>
  <c r="M21" i="3"/>
  <c r="M18" i="3"/>
  <c r="M17" i="3"/>
  <c r="M14" i="3"/>
  <c r="O10" i="3"/>
  <c r="O9" i="3"/>
  <c r="O6" i="3"/>
  <c r="M4" i="3"/>
  <c r="O3" i="3"/>
  <c r="O13" i="3"/>
  <c r="O11" i="3"/>
  <c r="O7" i="3"/>
  <c r="M5" i="3"/>
  <c r="L18" i="7"/>
  <c r="G18" i="7"/>
  <c r="F18" i="7"/>
  <c r="M18" i="7"/>
  <c r="I18" i="7"/>
  <c r="N18" i="7"/>
  <c r="J18" i="7"/>
  <c r="K18" i="7"/>
  <c r="H18" i="7"/>
  <c r="N37" i="2"/>
  <c r="M37" i="2"/>
  <c r="L37" i="2"/>
  <c r="K37" i="2"/>
  <c r="J37" i="2"/>
  <c r="I37" i="2"/>
  <c r="H37" i="2"/>
  <c r="G37" i="2"/>
  <c r="F37" i="2"/>
  <c r="D37" i="2"/>
  <c r="C37" i="2"/>
  <c r="N36" i="2"/>
  <c r="M36" i="2"/>
  <c r="L36" i="2"/>
  <c r="K36" i="2"/>
  <c r="J36" i="2"/>
  <c r="I36" i="2"/>
  <c r="H36" i="2"/>
  <c r="G36" i="2"/>
  <c r="F36" i="2"/>
  <c r="D36" i="2"/>
  <c r="C36" i="2"/>
  <c r="B35" i="2"/>
  <c r="B36" i="2" s="1"/>
  <c r="E33" i="2"/>
  <c r="S33" i="2" s="1"/>
  <c r="E32" i="2"/>
  <c r="S32" i="2" s="1"/>
  <c r="E31" i="2"/>
  <c r="S31" i="2" s="1"/>
  <c r="E30" i="2"/>
  <c r="S30" i="2" s="1"/>
  <c r="E29" i="2"/>
  <c r="S29" i="2" s="1"/>
  <c r="E28" i="2"/>
  <c r="S28" i="2" s="1"/>
  <c r="E27" i="2"/>
  <c r="S27" i="2" s="1"/>
  <c r="E26" i="2"/>
  <c r="S26" i="2" s="1"/>
  <c r="E25" i="2"/>
  <c r="S25" i="2" s="1"/>
  <c r="E24" i="2"/>
  <c r="S24" i="2" s="1"/>
  <c r="E23" i="2"/>
  <c r="S23" i="2" s="1"/>
  <c r="E22" i="2"/>
  <c r="S22" i="2" s="1"/>
  <c r="E20" i="2"/>
  <c r="S20" i="2" s="1"/>
  <c r="E19" i="2"/>
  <c r="S19" i="2" s="1"/>
  <c r="E14" i="2"/>
  <c r="S14" i="2" s="1"/>
  <c r="E13" i="2"/>
  <c r="S13" i="2" s="1"/>
  <c r="E12" i="2"/>
  <c r="S12" i="2" s="1"/>
  <c r="E11" i="2"/>
  <c r="S11" i="2" s="1"/>
  <c r="E10" i="2"/>
  <c r="S10" i="2" s="1"/>
  <c r="E9" i="2"/>
  <c r="S9" i="2" s="1"/>
  <c r="E8" i="2"/>
  <c r="S8" i="2" s="1"/>
  <c r="E7" i="2"/>
  <c r="S7" i="2" s="1"/>
  <c r="E6" i="2"/>
  <c r="S6" i="2" s="1"/>
  <c r="E5" i="2"/>
  <c r="S5" i="2" s="1"/>
  <c r="E3" i="2"/>
  <c r="S3" i="2" s="1"/>
  <c r="E2" i="2"/>
  <c r="S2" i="2" s="1"/>
  <c r="N15" i="2"/>
  <c r="M15" i="2"/>
  <c r="L15" i="2"/>
  <c r="K15" i="2"/>
  <c r="J15" i="2"/>
  <c r="I15" i="2"/>
  <c r="H15" i="2"/>
  <c r="G15" i="2"/>
  <c r="F15" i="2"/>
  <c r="D15" i="2"/>
  <c r="C15" i="2"/>
  <c r="B15" i="2"/>
  <c r="R55" i="3" l="1"/>
  <c r="V55" i="3" s="1"/>
  <c r="AA55" i="3" s="1"/>
  <c r="R94" i="3"/>
  <c r="V94" i="3" s="1"/>
  <c r="AA94" i="3" s="1"/>
  <c r="R53" i="3"/>
  <c r="V53" i="3" s="1"/>
  <c r="AA53" i="3" s="1"/>
  <c r="Q138" i="3"/>
  <c r="V138" i="3" s="1"/>
  <c r="AA138" i="3" s="1"/>
  <c r="R95" i="3"/>
  <c r="V95" i="3" s="1"/>
  <c r="AA95" i="3" s="1"/>
  <c r="Q139" i="3"/>
  <c r="V139" i="3" s="1"/>
  <c r="AA139" i="3" s="1"/>
  <c r="Q143" i="3"/>
  <c r="V143" i="3" s="1"/>
  <c r="AA143" i="3" s="1"/>
  <c r="Q144" i="3"/>
  <c r="V144" i="3" s="1"/>
  <c r="AA144" i="3" s="1"/>
  <c r="Q87" i="3"/>
  <c r="V87" i="3" s="1"/>
  <c r="AA87" i="3" s="1"/>
  <c r="R54" i="3"/>
  <c r="V54" i="3" s="1"/>
  <c r="AA54" i="3" s="1"/>
  <c r="Q88" i="3"/>
  <c r="V88" i="3" s="1"/>
  <c r="AA88" i="3" s="1"/>
  <c r="Q58" i="3"/>
  <c r="V58" i="3" s="1"/>
  <c r="R91" i="3"/>
  <c r="V91" i="3" s="1"/>
  <c r="R117" i="3"/>
  <c r="V117" i="3" s="1"/>
  <c r="Q38" i="3"/>
  <c r="V38" i="3" s="1"/>
  <c r="AA38" i="3" s="1"/>
  <c r="R46" i="3"/>
  <c r="V46" i="3" s="1"/>
  <c r="AA46" i="3" s="1"/>
  <c r="R52" i="3"/>
  <c r="V52" i="3" s="1"/>
  <c r="AA52" i="3" s="1"/>
  <c r="Q62" i="3"/>
  <c r="V62" i="3" s="1"/>
  <c r="AA62" i="3" s="1"/>
  <c r="Q72" i="3"/>
  <c r="V72" i="3" s="1"/>
  <c r="Q124" i="3"/>
  <c r="V124" i="3" s="1"/>
  <c r="Q77" i="3"/>
  <c r="V77" i="3" s="1"/>
  <c r="Q82" i="3"/>
  <c r="V82" i="3" s="1"/>
  <c r="AA82" i="3" s="1"/>
  <c r="Q74" i="3"/>
  <c r="V74" i="3" s="1"/>
  <c r="AA74" i="3" s="1"/>
  <c r="Q85" i="3"/>
  <c r="V85" i="3" s="1"/>
  <c r="AA85" i="3" s="1"/>
  <c r="Q97" i="3"/>
  <c r="V97" i="3" s="1"/>
  <c r="Q40" i="3"/>
  <c r="V40" i="3" s="1"/>
  <c r="AA40" i="3" s="1"/>
  <c r="R44" i="3"/>
  <c r="V44" i="3" s="1"/>
  <c r="AA44" i="3" s="1"/>
  <c r="Q80" i="3"/>
  <c r="V80" i="3" s="1"/>
  <c r="Q96" i="3"/>
  <c r="V96" i="3" s="1"/>
  <c r="AA96" i="3" s="1"/>
  <c r="R43" i="3"/>
  <c r="V43" i="3" s="1"/>
  <c r="AA43" i="3" s="1"/>
  <c r="R65" i="3"/>
  <c r="V65" i="3" s="1"/>
  <c r="AA65" i="3" s="1"/>
  <c r="Q69" i="3"/>
  <c r="V69" i="3" s="1"/>
  <c r="Q108" i="3"/>
  <c r="V108" i="3" s="1"/>
  <c r="Q125" i="3"/>
  <c r="V125" i="3" s="1"/>
  <c r="Q99" i="3"/>
  <c r="V99" i="3" s="1"/>
  <c r="Q104" i="3"/>
  <c r="V104" i="3" s="1"/>
  <c r="R116" i="3"/>
  <c r="V116" i="3" s="1"/>
  <c r="Q122" i="3"/>
  <c r="V122" i="3" s="1"/>
  <c r="Q41" i="3"/>
  <c r="V41" i="3" s="1"/>
  <c r="AA41" i="3" s="1"/>
  <c r="R45" i="3"/>
  <c r="V45" i="3" s="1"/>
  <c r="AA45" i="3" s="1"/>
  <c r="Q71" i="3"/>
  <c r="V71" i="3" s="1"/>
  <c r="AA71" i="3" s="1"/>
  <c r="Q102" i="3"/>
  <c r="V102" i="3" s="1"/>
  <c r="AA102" i="3" s="1"/>
  <c r="Q7" i="3"/>
  <c r="V7" i="3" s="1"/>
  <c r="AA7" i="3" s="1"/>
  <c r="Q23" i="3"/>
  <c r="V23" i="3" s="1"/>
  <c r="AA23" i="3" s="1"/>
  <c r="Q32" i="3"/>
  <c r="V32" i="3" s="1"/>
  <c r="AA32" i="3" s="1"/>
  <c r="Q20" i="3"/>
  <c r="V20" i="3" s="1"/>
  <c r="AA20" i="3" s="1"/>
  <c r="Q27" i="3"/>
  <c r="V27" i="3" s="1"/>
  <c r="AA27" i="3" s="1"/>
  <c r="Q35" i="3"/>
  <c r="V35" i="3" s="1"/>
  <c r="AA35" i="3" s="1"/>
  <c r="Q9" i="3"/>
  <c r="V9" i="3" s="1"/>
  <c r="AA9" i="3" s="1"/>
  <c r="Q37" i="3"/>
  <c r="V37" i="3" s="1"/>
  <c r="AA37" i="3" s="1"/>
  <c r="Q17" i="3"/>
  <c r="V17" i="3" s="1"/>
  <c r="AA17" i="3" s="1"/>
  <c r="Q33" i="3"/>
  <c r="V33" i="3" s="1"/>
  <c r="AA33" i="3" s="1"/>
  <c r="Q5" i="3"/>
  <c r="V5" i="3" s="1"/>
  <c r="AA5" i="3" s="1"/>
  <c r="Q3" i="3"/>
  <c r="V3" i="3" s="1"/>
  <c r="AA3" i="3" s="1"/>
  <c r="Q10" i="3"/>
  <c r="V10" i="3" s="1"/>
  <c r="AA10" i="3" s="1"/>
  <c r="Q21" i="3"/>
  <c r="V21" i="3" s="1"/>
  <c r="AA21" i="3" s="1"/>
  <c r="Q8" i="3"/>
  <c r="V8" i="3" s="1"/>
  <c r="AA8" i="3" s="1"/>
  <c r="Q15" i="3"/>
  <c r="V15" i="3" s="1"/>
  <c r="AA15" i="3" s="1"/>
  <c r="Q22" i="3"/>
  <c r="V22" i="3" s="1"/>
  <c r="AA22" i="3" s="1"/>
  <c r="Q28" i="3"/>
  <c r="V28" i="3" s="1"/>
  <c r="AA28" i="3" s="1"/>
  <c r="Q36" i="3"/>
  <c r="V36" i="3" s="1"/>
  <c r="AA36" i="3" s="1"/>
  <c r="Q2" i="3"/>
  <c r="V2" i="3" s="1"/>
  <c r="AA2" i="3" s="1"/>
  <c r="R63" i="3"/>
  <c r="V63" i="3" s="1"/>
  <c r="AA63" i="3" s="1"/>
  <c r="Q6" i="3"/>
  <c r="V6" i="3" s="1"/>
  <c r="AA6" i="3" s="1"/>
  <c r="Q24" i="3"/>
  <c r="V24" i="3" s="1"/>
  <c r="AA24" i="3" s="1"/>
  <c r="Q16" i="3"/>
  <c r="V16" i="3" s="1"/>
  <c r="AA16" i="3" s="1"/>
  <c r="Q25" i="3"/>
  <c r="V25" i="3" s="1"/>
  <c r="AA25" i="3" s="1"/>
  <c r="Q29" i="3"/>
  <c r="V29" i="3" s="1"/>
  <c r="AA29" i="3" s="1"/>
  <c r="Q60" i="3"/>
  <c r="V60" i="3" s="1"/>
  <c r="Q79" i="3"/>
  <c r="V79" i="3" s="1"/>
  <c r="Q103" i="3"/>
  <c r="V103" i="3" s="1"/>
  <c r="Q111" i="3"/>
  <c r="V111" i="3" s="1"/>
  <c r="R120" i="3"/>
  <c r="V120" i="3" s="1"/>
  <c r="R49" i="3"/>
  <c r="V49" i="3" s="1"/>
  <c r="AA49" i="3" s="1"/>
  <c r="R66" i="3"/>
  <c r="V66" i="3" s="1"/>
  <c r="Q70" i="3"/>
  <c r="V70" i="3" s="1"/>
  <c r="Q98" i="3"/>
  <c r="V98" i="3" s="1"/>
  <c r="Q109" i="3"/>
  <c r="V109" i="3" s="1"/>
  <c r="Q121" i="3"/>
  <c r="V121" i="3" s="1"/>
  <c r="R50" i="3"/>
  <c r="V50" i="3" s="1"/>
  <c r="AA50" i="3" s="1"/>
  <c r="Q75" i="3"/>
  <c r="V75" i="3" s="1"/>
  <c r="Q86" i="3"/>
  <c r="V86" i="3" s="1"/>
  <c r="Q61" i="3"/>
  <c r="V61" i="3" s="1"/>
  <c r="Q84" i="3"/>
  <c r="V84" i="3" s="1"/>
  <c r="Q110" i="3"/>
  <c r="V110" i="3" s="1"/>
  <c r="AA98" i="3" s="1"/>
  <c r="Q11" i="3"/>
  <c r="V11" i="3" s="1"/>
  <c r="AA11" i="3" s="1"/>
  <c r="Q12" i="3"/>
  <c r="V12" i="3" s="1"/>
  <c r="AA12" i="3" s="1"/>
  <c r="Q19" i="3"/>
  <c r="V19" i="3" s="1"/>
  <c r="AA19" i="3" s="1"/>
  <c r="Q34" i="3"/>
  <c r="V34" i="3" s="1"/>
  <c r="AA34" i="3" s="1"/>
  <c r="Q31" i="3"/>
  <c r="V31" i="3" s="1"/>
  <c r="AA31" i="3" s="1"/>
  <c r="R64" i="3"/>
  <c r="V64" i="3" s="1"/>
  <c r="AA61" i="3" s="1"/>
  <c r="Q100" i="3"/>
  <c r="V100" i="3" s="1"/>
  <c r="R47" i="3"/>
  <c r="V47" i="3" s="1"/>
  <c r="AA47" i="3" s="1"/>
  <c r="Q107" i="3"/>
  <c r="V107" i="3" s="1"/>
  <c r="Q57" i="3"/>
  <c r="V57" i="3" s="1"/>
  <c r="Q81" i="3"/>
  <c r="V81" i="3" s="1"/>
  <c r="R67" i="3"/>
  <c r="V67" i="3" s="1"/>
  <c r="Q123" i="3"/>
  <c r="V123" i="3" s="1"/>
  <c r="Q26" i="3"/>
  <c r="V26" i="3" s="1"/>
  <c r="AA26" i="3" s="1"/>
  <c r="Q105" i="3"/>
  <c r="V105" i="3" s="1"/>
  <c r="R42" i="3"/>
  <c r="V42" i="3" s="1"/>
  <c r="AA42" i="3" s="1"/>
  <c r="R68" i="3"/>
  <c r="V68" i="3" s="1"/>
  <c r="R90" i="3"/>
  <c r="V90" i="3" s="1"/>
  <c r="AA90" i="3" s="1"/>
  <c r="Q112" i="3"/>
  <c r="V112" i="3" s="1"/>
  <c r="B37" i="2"/>
  <c r="Q18" i="3"/>
  <c r="V18" i="3" s="1"/>
  <c r="AA18" i="3" s="1"/>
  <c r="Q30" i="3"/>
  <c r="V30" i="3" s="1"/>
  <c r="AA30" i="3" s="1"/>
  <c r="Q13" i="3"/>
  <c r="V13" i="3" s="1"/>
  <c r="AA13" i="3" s="1"/>
  <c r="Q4" i="3"/>
  <c r="V4" i="3" s="1"/>
  <c r="AA4" i="3" s="1"/>
  <c r="Q14" i="3"/>
  <c r="V14" i="3" s="1"/>
  <c r="AA14" i="3" s="1"/>
  <c r="Q59" i="3"/>
  <c r="V59" i="3" s="1"/>
  <c r="Q73" i="3"/>
  <c r="V73" i="3" s="1"/>
  <c r="Q78" i="3"/>
  <c r="V78" i="3" s="1"/>
  <c r="Q83" i="3"/>
  <c r="V83" i="3" s="1"/>
  <c r="Q101" i="3"/>
  <c r="V101" i="3" s="1"/>
  <c r="Q106" i="3"/>
  <c r="V106" i="3" s="1"/>
  <c r="R119" i="3"/>
  <c r="V119" i="3" s="1"/>
  <c r="Q39" i="3"/>
  <c r="V39" i="3" s="1"/>
  <c r="AA39" i="3" s="1"/>
  <c r="R48" i="3"/>
  <c r="V48" i="3" s="1"/>
  <c r="AA48" i="3" s="1"/>
  <c r="Q76" i="3"/>
  <c r="V76" i="3" s="1"/>
  <c r="AA70" i="3" s="1"/>
  <c r="R92" i="3"/>
  <c r="V92" i="3" s="1"/>
  <c r="R118" i="3"/>
  <c r="V118" i="3" s="1"/>
  <c r="E35" i="2"/>
  <c r="E36" i="2" s="1"/>
  <c r="E15" i="2"/>
  <c r="E37" i="2" l="1"/>
  <c r="Q16" i="2"/>
  <c r="S15" i="2"/>
  <c r="P16" i="2"/>
  <c r="O16" i="2"/>
  <c r="AA58" i="3"/>
  <c r="AA72" i="3"/>
  <c r="AA91" i="3"/>
  <c r="AA100" i="3"/>
  <c r="AA112" i="3"/>
  <c r="AA99" i="3"/>
  <c r="AA111" i="3"/>
  <c r="AA77" i="3"/>
  <c r="AA108" i="3"/>
  <c r="AA80" i="3"/>
  <c r="AA97" i="3"/>
  <c r="AA103" i="3"/>
  <c r="AA104" i="3"/>
  <c r="AA69" i="3"/>
  <c r="AA105" i="3"/>
  <c r="AA57" i="3"/>
  <c r="AA64" i="3"/>
  <c r="AA66" i="3"/>
  <c r="AA59" i="3"/>
  <c r="AA101" i="3"/>
  <c r="AA83" i="3"/>
  <c r="AA67" i="3"/>
  <c r="AA75" i="3"/>
  <c r="AA78" i="3"/>
  <c r="AA81" i="3"/>
  <c r="AA106" i="3"/>
  <c r="AA60" i="3"/>
  <c r="AA84" i="3"/>
  <c r="AA107" i="3"/>
  <c r="AA73" i="3"/>
  <c r="AA110" i="3"/>
  <c r="AA109" i="3"/>
  <c r="AA76" i="3"/>
  <c r="AA79" i="3"/>
  <c r="AA86" i="3"/>
  <c r="AA92" i="3"/>
  <c r="AA68" i="3"/>
  <c r="I16" i="2"/>
  <c r="F16" i="2"/>
  <c r="K16" i="2"/>
  <c r="J16" i="2"/>
  <c r="H16" i="2"/>
  <c r="N16" i="2"/>
  <c r="M16" i="2"/>
  <c r="G16" i="2"/>
  <c r="E16" i="2"/>
  <c r="L16" i="2"/>
</calcChain>
</file>

<file path=xl/sharedStrings.xml><?xml version="1.0" encoding="utf-8"?>
<sst xmlns="http://schemas.openxmlformats.org/spreadsheetml/2006/main" count="2819" uniqueCount="188">
  <si>
    <t>FiscalYear</t>
  </si>
  <si>
    <t>EOName</t>
  </si>
  <si>
    <t>AgencyName</t>
  </si>
  <si>
    <t>FuelName</t>
  </si>
  <si>
    <t>FuelUse</t>
  </si>
  <si>
    <t>UOMName</t>
  </si>
  <si>
    <t>FuelCost</t>
  </si>
  <si>
    <t>CO2Emissions</t>
  </si>
  <si>
    <t>NonCO2Emissions</t>
  </si>
  <si>
    <t>TotalCO2e</t>
  </si>
  <si>
    <t>Data Source (Use)</t>
  </si>
  <si>
    <t>Data Source (Cost)</t>
  </si>
  <si>
    <t>UseOfFuelName</t>
  </si>
  <si>
    <t>TypeOfFuelName</t>
  </si>
  <si>
    <t>Square Footage</t>
  </si>
  <si>
    <t>UMASS</t>
  </si>
  <si>
    <t>UMass Amherst</t>
  </si>
  <si>
    <t>Bituminous Coal</t>
  </si>
  <si>
    <t>Tons</t>
  </si>
  <si>
    <t>Agency Reported</t>
  </si>
  <si>
    <t>Estimated</t>
  </si>
  <si>
    <t>Building</t>
  </si>
  <si>
    <t>Coal</t>
  </si>
  <si>
    <t>Diesel for Vehicles</t>
  </si>
  <si>
    <t>Gallons</t>
  </si>
  <si>
    <t>Vehicle</t>
  </si>
  <si>
    <t>Diesel</t>
  </si>
  <si>
    <t>Gasoline</t>
  </si>
  <si>
    <t>Grid Electricity</t>
  </si>
  <si>
    <t>kWh</t>
  </si>
  <si>
    <t>Electricity</t>
  </si>
  <si>
    <t>Natural Gas</t>
  </si>
  <si>
    <t>therms</t>
  </si>
  <si>
    <t>Oil 2</t>
  </si>
  <si>
    <t>Oil</t>
  </si>
  <si>
    <t>Propane for Buildings</t>
  </si>
  <si>
    <t>Propane</t>
  </si>
  <si>
    <t>Paper Cubes</t>
  </si>
  <si>
    <t>B100 Equivalent for Vehicles</t>
  </si>
  <si>
    <t>BioDiesel</t>
  </si>
  <si>
    <t>CHP thermal output</t>
  </si>
  <si>
    <t>kBtu</t>
  </si>
  <si>
    <t>On-Site Clean CHP Electricity</t>
  </si>
  <si>
    <t>ULSD for CHP</t>
  </si>
  <si>
    <t>On-Site Solar PV Electricity</t>
  </si>
  <si>
    <t>AECs Sold</t>
  </si>
  <si>
    <t>REC (kWh)</t>
  </si>
  <si>
    <t>DCAMM</t>
  </si>
  <si>
    <t>Other</t>
  </si>
  <si>
    <t>Agency Reported, Combined NG &amp; LNG in therms from same pipeline</t>
  </si>
  <si>
    <t>LNG for CHP</t>
  </si>
  <si>
    <t>Grand Total</t>
  </si>
  <si>
    <t>GHG Emissions (metric tonnes)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</si>
  <si>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</si>
  <si>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</si>
  <si>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</si>
  <si>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</si>
  <si>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</si>
  <si>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</si>
  <si>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</si>
  <si>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</si>
  <si>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</si>
  <si>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</si>
  <si>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</si>
  <si>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</si>
  <si>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LBE Baseline</t>
  </si>
  <si>
    <t>% Change since Baseline</t>
  </si>
  <si>
    <t>AECs Sold (REC (kWh))</t>
  </si>
  <si>
    <t>B100 Equivalent for Vehicles (Gallons)</t>
  </si>
  <si>
    <t>Bituminous Coal (Tons)</t>
  </si>
  <si>
    <t>CHP thermal output (kBtu)</t>
  </si>
  <si>
    <t>Diesel for Vehicles (Gallons)</t>
  </si>
  <si>
    <t>Gasoline (Gallons)</t>
  </si>
  <si>
    <t>Grid Electricity (kWh)</t>
  </si>
  <si>
    <t>LNG for CHP (therms)</t>
  </si>
  <si>
    <t>Natural Gas (therms)</t>
  </si>
  <si>
    <t>Oil 2 (Gallons)</t>
  </si>
  <si>
    <t>Paper Cubes (Tons)</t>
  </si>
  <si>
    <t>Propane for Buildings (Gallons)</t>
  </si>
  <si>
    <t>ULSD for CHP (Gallons)</t>
  </si>
  <si>
    <t>Fuel Consumption (Units)</t>
  </si>
  <si>
    <t>% Change 
since Baseline</t>
  </si>
  <si>
    <t>LBE 
Baseline</t>
  </si>
  <si>
    <t>Total Electricity Consumption (kWh)</t>
  </si>
  <si>
    <t>% Grid Electricity Consumption</t>
  </si>
  <si>
    <t>On-Site Clean
 CHP Electricity (kWh)</t>
  </si>
  <si>
    <t>On-Site Solar 
PV Electricity (kWh)</t>
  </si>
  <si>
    <t>% Onsite Electricity Consumption</t>
  </si>
  <si>
    <t>Total kBtu</t>
  </si>
  <si>
    <t>zip</t>
  </si>
  <si>
    <t>01003</t>
  </si>
  <si>
    <t>Fuel Category</t>
  </si>
  <si>
    <t>Weather Dependent %</t>
  </si>
  <si>
    <t>At the pump E85</t>
  </si>
  <si>
    <t>Vehicle Fuels</t>
  </si>
  <si>
    <t>B100 Equivalent for Buildings</t>
  </si>
  <si>
    <t>Heating Oils</t>
  </si>
  <si>
    <t>CNG</t>
  </si>
  <si>
    <t>Diesel for Buildings</t>
  </si>
  <si>
    <t>Diesel Other</t>
  </si>
  <si>
    <t>Electric Vehicle</t>
  </si>
  <si>
    <t>Grid Electricity (other sites)</t>
  </si>
  <si>
    <t>Jet Fuel</t>
  </si>
  <si>
    <t>Lease Electricity</t>
  </si>
  <si>
    <t>LNG for Other</t>
  </si>
  <si>
    <t>NaturalGas</t>
  </si>
  <si>
    <t>Oil 4</t>
  </si>
  <si>
    <t>Oil 6</t>
  </si>
  <si>
    <t>Oil 6 for Other</t>
  </si>
  <si>
    <t>On-Site Hydro Power Electricity</t>
  </si>
  <si>
    <t>Renewable Energy</t>
  </si>
  <si>
    <t>On-Site Wind Electricity</t>
  </si>
  <si>
    <t>Propane for Vehicles</t>
  </si>
  <si>
    <t>Purchased Steam (Boston)</t>
  </si>
  <si>
    <t>Steam</t>
  </si>
  <si>
    <t>Purchased Steam (Cambridge)</t>
  </si>
  <si>
    <t>Wood Chips</t>
  </si>
  <si>
    <t>On-Site CHP Electricity</t>
  </si>
  <si>
    <t>n/a</t>
  </si>
  <si>
    <t>NaturalGas -Natural Gas</t>
  </si>
  <si>
    <t>NaturalGas -Electricity</t>
  </si>
  <si>
    <t>Purchased Steam (Boston &amp; Cambridge Combined)</t>
  </si>
  <si>
    <t>LNG</t>
  </si>
  <si>
    <t>ULSD for CHP-Electricity</t>
  </si>
  <si>
    <t>ULSD for CHP-Natural Gas</t>
  </si>
  <si>
    <t>wban</t>
  </si>
  <si>
    <t>WBAN&amp;FY</t>
  </si>
  <si>
    <t>HeatDegDays</t>
  </si>
  <si>
    <t>CoolDegDays</t>
  </si>
  <si>
    <t>HDDav</t>
  </si>
  <si>
    <t>CDDav</t>
  </si>
  <si>
    <t>yes</t>
  </si>
  <si>
    <t>in EUI report?</t>
  </si>
  <si>
    <t>WBAN Unit</t>
  </si>
  <si>
    <t>HDD</t>
  </si>
  <si>
    <t>CDD</t>
  </si>
  <si>
    <t>HDD ratio</t>
  </si>
  <si>
    <t>CDD ratio</t>
  </si>
  <si>
    <t>Weather-dependent use (kBtu)</t>
  </si>
  <si>
    <t>Non-weather-dependent use(kBtu)</t>
  </si>
  <si>
    <t>Weather-normalized use (kBtu)</t>
  </si>
  <si>
    <t>Weather Normalized (kBtu)</t>
  </si>
  <si>
    <t>Grand Total (kBtu)</t>
  </si>
  <si>
    <t>Building Usage (kBtu)</t>
  </si>
  <si>
    <t>Usage Type</t>
  </si>
  <si>
    <t>Building &amp; Vehicle</t>
  </si>
  <si>
    <t>Square Footage (SF)</t>
  </si>
  <si>
    <t>Energy Usage Intensity (kBtu/SF)</t>
  </si>
  <si>
    <t>Actual Usage (kBtu)</t>
  </si>
  <si>
    <t>factor</t>
  </si>
  <si>
    <t>Actual MMBtu</t>
  </si>
  <si>
    <t>WN MMBtu</t>
  </si>
  <si>
    <t>fuel</t>
  </si>
  <si>
    <t>category</t>
  </si>
  <si>
    <t>AgencyName (FuelName)</t>
  </si>
  <si>
    <t>147752006</t>
  </si>
  <si>
    <t>147752007</t>
  </si>
  <si>
    <t>147752008</t>
  </si>
  <si>
    <t>147752009</t>
  </si>
  <si>
    <t>147752010</t>
  </si>
  <si>
    <t>147752011</t>
  </si>
  <si>
    <t>147752012</t>
  </si>
  <si>
    <t>147752013</t>
  </si>
  <si>
    <t>147752002</t>
  </si>
  <si>
    <t>147752003</t>
  </si>
  <si>
    <t>147752004</t>
  </si>
  <si>
    <t>147752005</t>
  </si>
  <si>
    <t>FY2014</t>
  </si>
  <si>
    <t>FY2015</t>
  </si>
  <si>
    <t>FY2016</t>
  </si>
  <si>
    <t>Net Metering Credits</t>
  </si>
  <si>
    <t>Incomplete</t>
  </si>
  <si>
    <t>RECs Sold- MA Solar</t>
  </si>
  <si>
    <t>Water</t>
  </si>
  <si>
    <t>147752014</t>
  </si>
  <si>
    <t>147752015</t>
  </si>
  <si>
    <t>147752016</t>
  </si>
  <si>
    <t>% change since baseline</t>
  </si>
  <si>
    <t xml:space="preserve">% Change from Baseline </t>
  </si>
  <si>
    <t>mmbtu</t>
  </si>
  <si>
    <t>units</t>
  </si>
  <si>
    <t>STARS conversions - FY16</t>
  </si>
  <si>
    <t>STARS OP-5 category</t>
  </si>
  <si>
    <t>grid purchased electricity</t>
  </si>
  <si>
    <t>district steam/hot water</t>
  </si>
  <si>
    <t>energy from all others sources</t>
  </si>
  <si>
    <t>FY2017 - not validated</t>
  </si>
  <si>
    <t>STARS conversions - FY17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</si>
</sst>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  <numFmt numFmtId="166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</cellStyleXfs>
  <cellXfs count="118">
    <xf numFmtId="0" fontId="0" fillId="0" borderId="0" xfId="0"/>
    <xf numFmtId="0" fontId="2" fillId="3" borderId="3" xfId="0" applyFont="1" applyFill="1" applyBorder="1"/>
    <xf numFmtId="0" fontId="0" fillId="0" borderId="3" xfId="0" applyBorder="1" applyAlignment="1">
      <alignment horizontal="left"/>
    </xf>
    <xf numFmtId="3" fontId="0" fillId="0" borderId="3" xfId="0" applyNumberFormat="1" applyBorder="1"/>
    <xf numFmtId="0" fontId="0" fillId="0" borderId="3" xfId="0" applyFill="1" applyBorder="1" applyAlignment="1">
      <alignment horizontal="left"/>
    </xf>
    <xf numFmtId="43" fontId="0" fillId="0" borderId="3" xfId="1" applyFont="1" applyBorder="1"/>
    <xf numFmtId="165" fontId="0" fillId="0" borderId="3" xfId="1" applyNumberFormat="1" applyFont="1" applyBorder="1"/>
    <xf numFmtId="165" fontId="0" fillId="0" borderId="3" xfId="0" applyNumberFormat="1" applyBorder="1"/>
    <xf numFmtId="9" fontId="0" fillId="0" borderId="3" xfId="2" applyFont="1" applyBorder="1"/>
    <xf numFmtId="0" fontId="0" fillId="0" borderId="3" xfId="0" applyBorder="1"/>
    <xf numFmtId="165" fontId="0" fillId="0" borderId="0" xfId="1" applyNumberFormat="1" applyFont="1"/>
    <xf numFmtId="165" fontId="1" fillId="0" borderId="3" xfId="1" applyNumberFormat="1" applyFont="1" applyBorder="1"/>
    <xf numFmtId="165" fontId="2" fillId="3" borderId="3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wrapText="1"/>
    </xf>
    <xf numFmtId="165" fontId="0" fillId="0" borderId="3" xfId="1" applyNumberFormat="1" applyFont="1" applyFill="1" applyBorder="1"/>
    <xf numFmtId="165" fontId="0" fillId="0" borderId="3" xfId="1" applyNumberFormat="1" applyFont="1" applyBorder="1" applyAlignment="1">
      <alignment wrapText="1"/>
    </xf>
    <xf numFmtId="0" fontId="5" fillId="2" borderId="3" xfId="4" applyFont="1" applyFill="1" applyBorder="1" applyAlignment="1">
      <alignment horizontal="center"/>
    </xf>
    <xf numFmtId="0" fontId="5" fillId="2" borderId="4" xfId="5" applyFont="1" applyFill="1" applyBorder="1" applyAlignment="1">
      <alignment horizontal="center"/>
    </xf>
    <xf numFmtId="0" fontId="5" fillId="0" borderId="3" xfId="5" applyFont="1" applyFill="1" applyBorder="1" applyAlignment="1"/>
    <xf numFmtId="0" fontId="5" fillId="4" borderId="3" xfId="5" applyFont="1" applyFill="1" applyBorder="1" applyAlignment="1"/>
    <xf numFmtId="0" fontId="5" fillId="0" borderId="3" xfId="6" applyFont="1" applyFill="1" applyBorder="1" applyAlignment="1"/>
    <xf numFmtId="0" fontId="5" fillId="0" borderId="3" xfId="4" applyFont="1" applyFill="1" applyBorder="1" applyAlignment="1">
      <alignment horizontal="right" wrapText="1"/>
    </xf>
    <xf numFmtId="1" fontId="0" fillId="0" borderId="3" xfId="0" applyNumberFormat="1" applyBorder="1"/>
    <xf numFmtId="3" fontId="5" fillId="0" borderId="3" xfId="4" applyNumberFormat="1" applyFont="1" applyFill="1" applyBorder="1" applyAlignment="1">
      <alignment horizontal="right" wrapText="1"/>
    </xf>
    <xf numFmtId="1" fontId="0" fillId="0" borderId="3" xfId="0" applyNumberFormat="1" applyFill="1" applyBorder="1"/>
    <xf numFmtId="0" fontId="5" fillId="2" borderId="3" xfId="5" applyFont="1" applyFill="1" applyBorder="1" applyAlignment="1">
      <alignment horizontal="center"/>
    </xf>
    <xf numFmtId="0" fontId="5" fillId="0" borderId="3" xfId="4" applyFont="1" applyFill="1" applyBorder="1" applyAlignment="1"/>
    <xf numFmtId="0" fontId="5" fillId="0" borderId="3" xfId="4" applyFont="1" applyFill="1" applyBorder="1" applyAlignment="1">
      <alignment horizontal="right"/>
    </xf>
    <xf numFmtId="0" fontId="5" fillId="2" borderId="3" xfId="5" applyFont="1" applyFill="1" applyBorder="1" applyAlignment="1">
      <alignment horizontal="center" vertical="center" wrapText="1"/>
    </xf>
    <xf numFmtId="2" fontId="0" fillId="0" borderId="3" xfId="0" applyNumberFormat="1" applyBorder="1" applyAlignment="1"/>
    <xf numFmtId="165" fontId="0" fillId="0" borderId="3" xfId="1" applyNumberFormat="1" applyFont="1" applyBorder="1" applyAlignment="1"/>
    <xf numFmtId="0" fontId="0" fillId="0" borderId="3" xfId="0" applyBorder="1" applyAlignment="1"/>
    <xf numFmtId="0" fontId="0" fillId="0" borderId="3" xfId="0" applyFill="1" applyBorder="1" applyAlignment="1"/>
    <xf numFmtId="0" fontId="5" fillId="0" borderId="3" xfId="7" applyFont="1" applyFill="1" applyBorder="1" applyAlignment="1"/>
    <xf numFmtId="1" fontId="0" fillId="0" borderId="3" xfId="0" applyNumberFormat="1" applyBorder="1" applyAlignment="1"/>
    <xf numFmtId="0" fontId="5" fillId="0" borderId="3" xfId="3" applyFont="1" applyFill="1" applyBorder="1" applyAlignment="1"/>
    <xf numFmtId="4" fontId="5" fillId="0" borderId="3" xfId="3" applyNumberFormat="1" applyFont="1" applyFill="1" applyBorder="1" applyAlignment="1">
      <alignment horizontal="right"/>
    </xf>
    <xf numFmtId="164" fontId="5" fillId="0" borderId="3" xfId="3" applyNumberFormat="1" applyFont="1" applyFill="1" applyBorder="1" applyAlignment="1">
      <alignment horizontal="right"/>
    </xf>
    <xf numFmtId="0" fontId="3" fillId="2" borderId="1" xfId="8" applyFont="1" applyFill="1" applyBorder="1" applyAlignment="1">
      <alignment horizontal="center"/>
    </xf>
    <xf numFmtId="0" fontId="3" fillId="0" borderId="2" xfId="8" applyFont="1" applyFill="1" applyBorder="1" applyAlignment="1"/>
    <xf numFmtId="0" fontId="3" fillId="0" borderId="2" xfId="8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right"/>
    </xf>
    <xf numFmtId="43" fontId="0" fillId="0" borderId="3" xfId="0" applyNumberFormat="1" applyBorder="1"/>
    <xf numFmtId="0" fontId="0" fillId="0" borderId="5" xfId="0" applyFill="1" applyBorder="1" applyAlignment="1">
      <alignment horizontal="left"/>
    </xf>
    <xf numFmtId="165" fontId="3" fillId="0" borderId="3" xfId="1" applyNumberFormat="1" applyFont="1" applyFill="1" applyBorder="1" applyAlignment="1">
      <alignment horizontal="right"/>
    </xf>
    <xf numFmtId="9" fontId="0" fillId="0" borderId="3" xfId="2" applyFont="1" applyFill="1" applyBorder="1"/>
    <xf numFmtId="10" fontId="0" fillId="0" borderId="3" xfId="2" applyNumberFormat="1" applyFont="1" applyFill="1" applyBorder="1" applyAlignment="1">
      <alignment horizontal="left"/>
    </xf>
    <xf numFmtId="10" fontId="0" fillId="0" borderId="3" xfId="2" applyNumberFormat="1" applyFont="1" applyBorder="1"/>
    <xf numFmtId="4" fontId="3" fillId="0" borderId="3" xfId="9" applyNumberFormat="1" applyFont="1" applyFill="1" applyBorder="1" applyAlignment="1">
      <alignment horizontal="right"/>
    </xf>
    <xf numFmtId="164" fontId="3" fillId="0" borderId="3" xfId="9" applyNumberFormat="1" applyFont="1" applyFill="1" applyBorder="1" applyAlignment="1">
      <alignment horizontal="right"/>
    </xf>
    <xf numFmtId="0" fontId="5" fillId="0" borderId="3" xfId="10" applyFont="1" applyFill="1" applyBorder="1" applyAlignment="1">
      <alignment horizontal="right"/>
    </xf>
    <xf numFmtId="0" fontId="5" fillId="0" borderId="3" xfId="10" applyFont="1" applyFill="1" applyBorder="1" applyAlignment="1"/>
    <xf numFmtId="4" fontId="5" fillId="0" borderId="3" xfId="10" applyNumberFormat="1" applyFont="1" applyFill="1" applyBorder="1" applyAlignment="1">
      <alignment horizontal="right"/>
    </xf>
    <xf numFmtId="164" fontId="5" fillId="0" borderId="3" xfId="10" applyNumberFormat="1" applyFont="1" applyFill="1" applyBorder="1" applyAlignment="1">
      <alignment horizontal="right"/>
    </xf>
    <xf numFmtId="0" fontId="5" fillId="2" borderId="3" xfId="1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4" fontId="5" fillId="0" borderId="3" xfId="3" applyNumberFormat="1" applyFont="1" applyFill="1" applyBorder="1" applyAlignment="1">
      <alignment horizontal="right" wrapText="1"/>
    </xf>
    <xf numFmtId="164" fontId="5" fillId="0" borderId="3" xfId="3" applyNumberFormat="1" applyFont="1" applyFill="1" applyBorder="1" applyAlignment="1">
      <alignment horizontal="right" wrapText="1"/>
    </xf>
    <xf numFmtId="10" fontId="0" fillId="0" borderId="0" xfId="2" applyNumberFormat="1" applyFont="1" applyBorder="1"/>
    <xf numFmtId="9" fontId="2" fillId="0" borderId="3" xfId="2" applyNumberFormat="1" applyFont="1" applyFill="1" applyBorder="1" applyAlignment="1">
      <alignment horizontal="left"/>
    </xf>
    <xf numFmtId="9" fontId="2" fillId="0" borderId="3" xfId="0" applyNumberFormat="1" applyFont="1" applyFill="1" applyBorder="1" applyAlignment="1">
      <alignment horizontal="left"/>
    </xf>
    <xf numFmtId="9" fontId="2" fillId="0" borderId="3" xfId="2" applyNumberFormat="1" applyFont="1" applyBorder="1"/>
    <xf numFmtId="9" fontId="0" fillId="0" borderId="3" xfId="2" applyNumberFormat="1" applyFont="1" applyBorder="1"/>
    <xf numFmtId="0" fontId="3" fillId="2" borderId="3" xfId="9" applyFont="1" applyFill="1" applyBorder="1" applyAlignment="1">
      <alignment horizontal="center"/>
    </xf>
    <xf numFmtId="0" fontId="3" fillId="0" borderId="3" xfId="9" applyFont="1" applyFill="1" applyBorder="1" applyAlignment="1">
      <alignment horizontal="right"/>
    </xf>
    <xf numFmtId="0" fontId="3" fillId="0" borderId="3" xfId="9" applyFont="1" applyFill="1" applyBorder="1" applyAlignment="1"/>
    <xf numFmtId="49" fontId="0" fillId="0" borderId="3" xfId="0" applyNumberFormat="1" applyBorder="1" applyAlignment="1"/>
    <xf numFmtId="0" fontId="0" fillId="0" borderId="3" xfId="0" applyBorder="1"/>
    <xf numFmtId="0" fontId="3" fillId="0" borderId="3" xfId="13" applyFont="1" applyFill="1" applyBorder="1" applyAlignment="1"/>
    <xf numFmtId="0" fontId="0" fillId="0" borderId="3" xfId="0" applyBorder="1" applyAlignment="1"/>
    <xf numFmtId="0" fontId="0" fillId="0" borderId="3" xfId="0" applyFill="1" applyBorder="1" applyAlignment="1"/>
    <xf numFmtId="165" fontId="0" fillId="0" borderId="3" xfId="1" applyNumberFormat="1" applyFont="1" applyBorder="1"/>
    <xf numFmtId="43" fontId="0" fillId="0" borderId="3" xfId="1" applyFont="1" applyBorder="1"/>
    <xf numFmtId="1" fontId="0" fillId="0" borderId="3" xfId="0" applyNumberFormat="1" applyBorder="1" applyAlignment="1"/>
    <xf numFmtId="43" fontId="3" fillId="0" borderId="3" xfId="1" applyFont="1" applyFill="1" applyBorder="1" applyAlignment="1">
      <alignment horizontal="right"/>
    </xf>
    <xf numFmtId="44" fontId="3" fillId="0" borderId="3" xfId="11" applyFont="1" applyFill="1" applyBorder="1" applyAlignment="1">
      <alignment horizontal="right"/>
    </xf>
    <xf numFmtId="44" fontId="0" fillId="0" borderId="3" xfId="11" applyFont="1" applyBorder="1" applyAlignment="1"/>
    <xf numFmtId="43" fontId="0" fillId="0" borderId="3" xfId="1" applyFont="1" applyBorder="1" applyAlignment="1"/>
    <xf numFmtId="165" fontId="0" fillId="0" borderId="3" xfId="0" applyNumberFormat="1" applyBorder="1"/>
    <xf numFmtId="166" fontId="0" fillId="0" borderId="3" xfId="11" applyNumberFormat="1" applyFont="1" applyBorder="1"/>
    <xf numFmtId="1" fontId="0" fillId="0" borderId="3" xfId="0" applyNumberFormat="1" applyFill="1" applyBorder="1" applyAlignment="1"/>
    <xf numFmtId="165" fontId="0" fillId="0" borderId="3" xfId="0" applyNumberFormat="1" applyFill="1" applyBorder="1"/>
    <xf numFmtId="166" fontId="0" fillId="0" borderId="3" xfId="11" applyNumberFormat="1" applyFont="1" applyFill="1" applyBorder="1"/>
    <xf numFmtId="165" fontId="0" fillId="0" borderId="3" xfId="0" applyNumberFormat="1" applyBorder="1" applyAlignment="1">
      <alignment wrapText="1"/>
    </xf>
    <xf numFmtId="43" fontId="3" fillId="0" borderId="3" xfId="1" applyFont="1" applyFill="1" applyBorder="1" applyAlignment="1">
      <alignment horizontal="right" wrapText="1"/>
    </xf>
    <xf numFmtId="43" fontId="0" fillId="0" borderId="3" xfId="1" applyNumberFormat="1" applyFont="1" applyBorder="1"/>
    <xf numFmtId="165" fontId="3" fillId="0" borderId="3" xfId="1" applyNumberFormat="1" applyFont="1" applyFill="1" applyBorder="1" applyAlignment="1">
      <alignment horizontal="right"/>
    </xf>
    <xf numFmtId="0" fontId="3" fillId="0" borderId="3" xfId="3" applyFont="1" applyFill="1" applyBorder="1" applyAlignment="1"/>
    <xf numFmtId="4" fontId="3" fillId="0" borderId="3" xfId="10" applyNumberFormat="1" applyFont="1" applyFill="1" applyBorder="1" applyAlignment="1">
      <alignment horizontal="right"/>
    </xf>
    <xf numFmtId="0" fontId="3" fillId="0" borderId="3" xfId="10" applyFont="1" applyFill="1" applyBorder="1" applyAlignment="1">
      <alignment horizontal="right"/>
    </xf>
    <xf numFmtId="3" fontId="2" fillId="0" borderId="3" xfId="0" applyNumberFormat="1" applyFont="1" applyBorder="1"/>
    <xf numFmtId="0" fontId="2" fillId="0" borderId="3" xfId="0" applyFont="1" applyFill="1" applyBorder="1" applyAlignment="1">
      <alignment horizontal="left"/>
    </xf>
    <xf numFmtId="3" fontId="0" fillId="0" borderId="3" xfId="0" applyNumberFormat="1" applyFont="1" applyBorder="1"/>
    <xf numFmtId="3" fontId="0" fillId="0" borderId="3" xfId="0" applyNumberFormat="1" applyFont="1" applyBorder="1"/>
    <xf numFmtId="3" fontId="0" fillId="0" borderId="3" xfId="0" applyNumberFormat="1" applyFont="1" applyBorder="1"/>
    <xf numFmtId="3" fontId="0" fillId="0" borderId="3" xfId="0" applyNumberFormat="1" applyFont="1" applyBorder="1"/>
    <xf numFmtId="3" fontId="0" fillId="0" borderId="3" xfId="0" applyNumberFormat="1" applyFont="1" applyBorder="1"/>
    <xf numFmtId="3" fontId="0" fillId="0" borderId="3" xfId="0" applyNumberFormat="1" applyFont="1" applyBorder="1"/>
    <xf numFmtId="3" fontId="0" fillId="0" borderId="3" xfId="0" applyNumberFormat="1" applyFont="1" applyBorder="1"/>
    <xf numFmtId="3" fontId="0" fillId="0" borderId="3" xfId="0" applyNumberFormat="1" applyBorder="1"/>
    <xf numFmtId="3" fontId="0" fillId="0" borderId="3" xfId="0" applyNumberFormat="1" applyBorder="1"/>
    <xf numFmtId="3" fontId="0" fillId="0" borderId="3" xfId="0" applyNumberFormat="1" applyBorder="1"/>
    <xf numFmtId="3" fontId="0" fillId="0" borderId="3" xfId="0" applyNumberFormat="1" applyBorder="1"/>
    <xf numFmtId="3" fontId="0" fillId="0" borderId="3" xfId="0" applyNumberFormat="1" applyBorder="1"/>
    <xf numFmtId="3" fontId="0" fillId="0" borderId="3" xfId="0" applyNumberFormat="1" applyBorder="1"/>
    <xf numFmtId="3" fontId="0" fillId="0" borderId="3" xfId="0" applyNumberFormat="1" applyBorder="1"/>
    <xf numFmtId="3" fontId="0" fillId="0" borderId="3" xfId="0" applyNumberFormat="1" applyBorder="1"/>
    <xf numFmtId="3" fontId="0" fillId="0" borderId="3" xfId="0" applyNumberFormat="1" applyBorder="1"/>
    <xf numFmtId="0" fontId="2" fillId="0" borderId="0" xfId="0" applyFont="1"/>
    <xf numFmtId="165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9" fontId="0" fillId="0" borderId="0" xfId="2" applyFont="1" applyBorder="1"/>
    <xf numFmtId="165" fontId="0" fillId="0" borderId="0" xfId="0" applyNumberFormat="1" applyBorder="1"/>
    <xf numFmtId="0" fontId="2" fillId="3" borderId="0" xfId="0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0" fontId="0" fillId="0" borderId="0" xfId="0" applyAlignment="1">
      <alignment horizontal="center"/>
    </xf>
  </cellXfs>
  <cellStyles count="14">
    <cellStyle name="Comma" xfId="1" builtinId="3"/>
    <cellStyle name="Currency" xfId="11" builtinId="4"/>
    <cellStyle name="Normal" xfId="0" builtinId="0"/>
    <cellStyle name="Normal 2 2" xfId="12"/>
    <cellStyle name="Normal_PL" xfId="4"/>
    <cellStyle name="Normal_PL_1" xfId="8"/>
    <cellStyle name="Normal_raw data" xfId="5"/>
    <cellStyle name="Normal_raw kbtu $ data" xfId="7"/>
    <cellStyle name="Normal_raw kbtu $ data_2" xfId="6"/>
    <cellStyle name="Normal_raw kbtu $ data_2 2" xfId="13"/>
    <cellStyle name="Normal_raw kbtu data" xfId="10"/>
    <cellStyle name="Normal_rawGHG" xfId="9"/>
    <cellStyle name="Normal_Sheet1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Change in GHG Emissions from LBE Baseline to FY16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Usage + GHG Emissions'!$A$15</c:f>
              <c:strCache>
                <c:ptCount val="1"/>
                <c:pt idx="0">
                  <c:v>Grand Total</c:v>
                </c:pt>
              </c:strCache>
            </c:strRef>
          </c:tx>
          <c:invertIfNegative val="0"/>
          <c:cat>
            <c:strRef>
              <c:f>'Overview Usage + GHG Emissions'!$E$1:$Q$1</c:f>
              <c:strCache>
                <c:ptCount val="13"/>
                <c:pt idx="0">
                  <c:v>LBE 
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Emissions'!$E$15:$Q$15</c:f>
              <c:numCache>
                <c:formatCode>_(* #,##0_);_(* \(#,##0\);_(* "-"??_);_(@_)</c:formatCode>
                <c:ptCount val="13"/>
                <c:pt idx="0">
                  <c:v>168490.18174804951</c:v>
                </c:pt>
                <c:pt idx="1">
                  <c:v>171014.67793419951</c:v>
                </c:pt>
                <c:pt idx="2">
                  <c:v>141154.3746218821</c:v>
                </c:pt>
                <c:pt idx="3">
                  <c:v>141680.75816881322</c:v>
                </c:pt>
                <c:pt idx="4">
                  <c:v>130701.90011120751</c:v>
                </c:pt>
                <c:pt idx="5">
                  <c:v>129613.12346635734</c:v>
                </c:pt>
                <c:pt idx="6">
                  <c:v>118202.49219490042</c:v>
                </c:pt>
                <c:pt idx="7">
                  <c:v>125637.21682383885</c:v>
                </c:pt>
                <c:pt idx="8">
                  <c:v>112810.52563595996</c:v>
                </c:pt>
                <c:pt idx="9">
                  <c:v>122411.87681897494</c:v>
                </c:pt>
                <c:pt idx="10">
                  <c:v>127226</c:v>
                </c:pt>
                <c:pt idx="11">
                  <c:v>129924</c:v>
                </c:pt>
                <c:pt idx="12">
                  <c:v>123389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07048"/>
        <c:axId val="345462120"/>
      </c:barChart>
      <c:barChart>
        <c:barDir val="col"/>
        <c:grouping val="clustered"/>
        <c:varyColors val="0"/>
        <c:ser>
          <c:idx val="1"/>
          <c:order val="1"/>
          <c:tx>
            <c:strRef>
              <c:f>'Overview Usage + GHG Emissions'!$A$16</c:f>
              <c:strCache>
                <c:ptCount val="1"/>
                <c:pt idx="0">
                  <c:v>% Change 
since Baseline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4.166666666666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'Overview Usage + GHG Emissions'!$E$1:$Q$1</c:f>
              <c:strCache>
                <c:ptCount val="13"/>
                <c:pt idx="0">
                  <c:v>LBE 
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Emissions'!$E$16:$Q$16</c:f>
              <c:numCache>
                <c:formatCode>0%</c:formatCode>
                <c:ptCount val="13"/>
                <c:pt idx="0">
                  <c:v>0</c:v>
                </c:pt>
                <c:pt idx="1">
                  <c:v>1.4983046252065839E-2</c:v>
                </c:pt>
                <c:pt idx="2">
                  <c:v>-0.16223976283106983</c:v>
                </c:pt>
                <c:pt idx="3">
                  <c:v>-0.15911564282912077</c:v>
                </c:pt>
                <c:pt idx="4">
                  <c:v>-0.22427586726298637</c:v>
                </c:pt>
                <c:pt idx="5">
                  <c:v>-0.23073782625403463</c:v>
                </c:pt>
                <c:pt idx="6">
                  <c:v>-0.29846065231472296</c:v>
                </c:pt>
                <c:pt idx="7">
                  <c:v>-0.25433508635114715</c:v>
                </c:pt>
                <c:pt idx="8">
                  <c:v>-0.33046231854239255</c:v>
                </c:pt>
                <c:pt idx="9">
                  <c:v>-0.27347768547117723</c:v>
                </c:pt>
                <c:pt idx="10">
                  <c:v>-0.24490555663209851</c:v>
                </c:pt>
                <c:pt idx="11">
                  <c:v>-0.22889275415299362</c:v>
                </c:pt>
                <c:pt idx="12">
                  <c:v>-0.26767839692576989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58200"/>
        <c:axId val="345457024"/>
      </c:barChart>
      <c:catAx>
        <c:axId val="34340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462120"/>
        <c:crosses val="autoZero"/>
        <c:auto val="1"/>
        <c:lblAlgn val="ctr"/>
        <c:lblOffset val="100"/>
        <c:noMultiLvlLbl val="0"/>
      </c:catAx>
      <c:valAx>
        <c:axId val="345462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GHG Emissions (metric tonnes)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43407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0859738061151816E-2"/>
                <c:y val="0.15363444152814248"/>
              </c:manualLayout>
            </c:layout>
          </c:dispUnitsLbl>
        </c:dispUnits>
      </c:valAx>
      <c:valAx>
        <c:axId val="34545702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crossAx val="345458200"/>
        <c:crosses val="max"/>
        <c:crossBetween val="between"/>
      </c:valAx>
      <c:catAx>
        <c:axId val="34545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54570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UMA Electricity Consumption from LBE Baseline to FY16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272301278267"/>
          <c:y val="0.15363444152814248"/>
          <c:w val="0.81637276987217311"/>
          <c:h val="0.45797936716243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'Overview Usage + GHG Emissions'!$A$25</c:f>
              <c:strCache>
                <c:ptCount val="1"/>
                <c:pt idx="0">
                  <c:v>Grid Electricity (kWh)</c:v>
                </c:pt>
              </c:strCache>
            </c:strRef>
          </c:tx>
          <c:invertIfNegative val="0"/>
          <c:cat>
            <c:strRef>
              <c:f>'Overview Usage + GHG Emissions'!$E$18:$Q$18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Emissions'!$E$25:$Q$25</c:f>
              <c:numCache>
                <c:formatCode>_(* #,##0_);_(* \(#,##0\);_(* "-"??_);_(@_)</c:formatCode>
                <c:ptCount val="13"/>
                <c:pt idx="0">
                  <c:v>111475014.33333333</c:v>
                </c:pt>
                <c:pt idx="1">
                  <c:v>111854228</c:v>
                </c:pt>
                <c:pt idx="2">
                  <c:v>114836355</c:v>
                </c:pt>
                <c:pt idx="3">
                  <c:v>109318514</c:v>
                </c:pt>
                <c:pt idx="4">
                  <c:v>107377255</c:v>
                </c:pt>
                <c:pt idx="5">
                  <c:v>59464078</c:v>
                </c:pt>
                <c:pt idx="6">
                  <c:v>42589557</c:v>
                </c:pt>
                <c:pt idx="7">
                  <c:v>38671377</c:v>
                </c:pt>
                <c:pt idx="8">
                  <c:v>43527184</c:v>
                </c:pt>
                <c:pt idx="9">
                  <c:v>38189014</c:v>
                </c:pt>
                <c:pt idx="10">
                  <c:v>40975240</c:v>
                </c:pt>
                <c:pt idx="11">
                  <c:v>36491618</c:v>
                </c:pt>
                <c:pt idx="12">
                  <c:v>48651545</c:v>
                </c:pt>
              </c:numCache>
            </c:numRef>
          </c:val>
        </c:ser>
        <c:ser>
          <c:idx val="1"/>
          <c:order val="1"/>
          <c:tx>
            <c:strRef>
              <c:f>'Overview Usage + GHG Emissions'!$A$29</c:f>
              <c:strCache>
                <c:ptCount val="1"/>
                <c:pt idx="0">
                  <c:v>On-Site Clean
 CHP Electricity (kWh)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'Overview Usage + GHG Emissions'!$E$18:$Q$18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Emissions'!$E$29:$Q$29</c:f>
              <c:numCache>
                <c:formatCode>_(* #,##0_);_(* \(#,##0\);_(* "-"??_);_(@_)</c:formatCode>
                <c:ptCount val="13"/>
                <c:pt idx="0">
                  <c:v>0</c:v>
                </c:pt>
                <c:pt idx="4">
                  <c:v>16199669</c:v>
                </c:pt>
                <c:pt idx="5">
                  <c:v>62562187</c:v>
                </c:pt>
                <c:pt idx="6">
                  <c:v>82065686</c:v>
                </c:pt>
                <c:pt idx="7">
                  <c:v>92677461</c:v>
                </c:pt>
                <c:pt idx="8">
                  <c:v>91438102</c:v>
                </c:pt>
                <c:pt idx="9">
                  <c:v>92763130</c:v>
                </c:pt>
                <c:pt idx="10">
                  <c:v>93094171</c:v>
                </c:pt>
                <c:pt idx="11">
                  <c:v>99622505</c:v>
                </c:pt>
                <c:pt idx="12">
                  <c:v>91833928</c:v>
                </c:pt>
              </c:numCache>
            </c:numRef>
          </c:val>
        </c:ser>
        <c:ser>
          <c:idx val="2"/>
          <c:order val="2"/>
          <c:tx>
            <c:strRef>
              <c:f>'Overview Usage + GHG Emissions'!$A$30</c:f>
              <c:strCache>
                <c:ptCount val="1"/>
                <c:pt idx="0">
                  <c:v>On-Site Solar 
PV Electricity 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'Overview Usage + GHG Emissions'!$E$18:$Q$18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Emissions'!$E$30:$Q$30</c:f>
              <c:numCache>
                <c:formatCode>_(* #,##0_);_(* \(#,##0\);_(* "-"??_);_(@_)</c:formatCode>
                <c:ptCount val="13"/>
                <c:pt idx="0">
                  <c:v>0</c:v>
                </c:pt>
                <c:pt idx="7">
                  <c:v>9906</c:v>
                </c:pt>
                <c:pt idx="8">
                  <c:v>23391</c:v>
                </c:pt>
                <c:pt idx="9">
                  <c:v>15690.56</c:v>
                </c:pt>
                <c:pt idx="10">
                  <c:v>12720</c:v>
                </c:pt>
                <c:pt idx="11">
                  <c:v>12455</c:v>
                </c:pt>
                <c:pt idx="12">
                  <c:v>160321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459376"/>
        <c:axId val="345463688"/>
      </c:barChart>
      <c:catAx>
        <c:axId val="34545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463688"/>
        <c:crosses val="autoZero"/>
        <c:auto val="1"/>
        <c:lblAlgn val="ctr"/>
        <c:lblOffset val="100"/>
        <c:noMultiLvlLbl val="0"/>
      </c:catAx>
      <c:valAx>
        <c:axId val="345463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Electricity Consumption (kWh)</a:t>
                </a:r>
              </a:p>
            </c:rich>
          </c:tx>
          <c:layout>
            <c:manualLayout>
              <c:xMode val="edge"/>
              <c:yMode val="edge"/>
              <c:x val="5.70305463811457E-2"/>
              <c:y val="8.4872127826126992E-2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454593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9.4559327926346443E-2"/>
                <c:y val="0.14086623382603508"/>
              </c:manualLayout>
            </c:layout>
          </c:dispUnitsLbl>
        </c:dispUnits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Usage + GHG Emissions'!$A$71</c:f>
              <c:strCache>
                <c:ptCount val="1"/>
                <c:pt idx="0">
                  <c:v>Oil 2 (Gallons)</c:v>
                </c:pt>
              </c:strCache>
            </c:strRef>
          </c:tx>
          <c:invertIfNegative val="0"/>
          <c:cat>
            <c:strRef>
              <c:f>'Overview Usage + GHG Emissions'!$E$70:$Q$70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Emissions'!$E$71:$Q$71</c:f>
              <c:numCache>
                <c:formatCode>_(* #,##0_);_(* \(#,##0\);_(* "-"??_);_(@_)</c:formatCode>
                <c:ptCount val="13"/>
                <c:pt idx="0">
                  <c:v>487052.66666666669</c:v>
                </c:pt>
                <c:pt idx="1">
                  <c:v>528097</c:v>
                </c:pt>
                <c:pt idx="2">
                  <c:v>421220</c:v>
                </c:pt>
                <c:pt idx="3">
                  <c:v>568638</c:v>
                </c:pt>
                <c:pt idx="4">
                  <c:v>207616</c:v>
                </c:pt>
                <c:pt idx="5">
                  <c:v>30459.092219233113</c:v>
                </c:pt>
                <c:pt idx="6">
                  <c:v>22246</c:v>
                </c:pt>
                <c:pt idx="7">
                  <c:v>21182</c:v>
                </c:pt>
                <c:pt idx="8">
                  <c:v>23365</c:v>
                </c:pt>
                <c:pt idx="9">
                  <c:v>27322</c:v>
                </c:pt>
                <c:pt idx="10">
                  <c:v>27748</c:v>
                </c:pt>
                <c:pt idx="11">
                  <c:v>25546</c:v>
                </c:pt>
                <c:pt idx="12">
                  <c:v>23859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62904"/>
        <c:axId val="345456240"/>
      </c:barChart>
      <c:barChart>
        <c:barDir val="col"/>
        <c:grouping val="clustered"/>
        <c:varyColors val="0"/>
        <c:ser>
          <c:idx val="1"/>
          <c:order val="1"/>
          <c:tx>
            <c:strRef>
              <c:f>'Overview Usage + GHG Emissions'!$A$72</c:f>
              <c:strCache>
                <c:ptCount val="1"/>
                <c:pt idx="0">
                  <c:v>% change since baseline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'Overview Usage + GHG Emissions'!$E$70:$Q$70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Emissions'!$E$72:$Q$72</c:f>
              <c:numCache>
                <c:formatCode>0%</c:formatCode>
                <c:ptCount val="13"/>
                <c:pt idx="0">
                  <c:v>0</c:v>
                </c:pt>
                <c:pt idx="1">
                  <c:v>8.4270831764942558E-2</c:v>
                </c:pt>
                <c:pt idx="2">
                  <c:v>-0.13516539621314058</c:v>
                </c:pt>
                <c:pt idx="3">
                  <c:v>0.16750823661780584</c:v>
                </c:pt>
                <c:pt idx="4">
                  <c:v>-0.57372987726173352</c:v>
                </c:pt>
                <c:pt idx="5">
                  <c:v>-0.93746242592676543</c:v>
                </c:pt>
                <c:pt idx="6">
                  <c:v>-0.95432526804082785</c:v>
                </c:pt>
                <c:pt idx="7">
                  <c:v>-0.95650983671854795</c:v>
                </c:pt>
                <c:pt idx="8">
                  <c:v>-0.952027775230331</c:v>
                </c:pt>
                <c:pt idx="9">
                  <c:v>-0.9439033971685471</c:v>
                </c:pt>
                <c:pt idx="10">
                  <c:v>-0.9430287484310389</c:v>
                </c:pt>
                <c:pt idx="11">
                  <c:v>-0.94754982007421507</c:v>
                </c:pt>
                <c:pt idx="12">
                  <c:v>-0.95101351120138955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59768"/>
        <c:axId val="345457416"/>
      </c:barChart>
      <c:catAx>
        <c:axId val="34546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456240"/>
        <c:crosses val="autoZero"/>
        <c:auto val="1"/>
        <c:lblAlgn val="ctr"/>
        <c:lblOffset val="100"/>
        <c:noMultiLvlLbl val="0"/>
      </c:catAx>
      <c:valAx>
        <c:axId val="3454562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45462904"/>
        <c:crosses val="autoZero"/>
        <c:crossBetween val="between"/>
      </c:valAx>
      <c:valAx>
        <c:axId val="34545741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crossAx val="345459768"/>
        <c:crosses val="max"/>
        <c:crossBetween val="between"/>
      </c:valAx>
      <c:catAx>
        <c:axId val="345459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4574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Usage + GHG Emissions'!$A$95</c:f>
              <c:strCache>
                <c:ptCount val="1"/>
                <c:pt idx="0">
                  <c:v>Grid Electricity (kWh)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'Overview Usage + GHG Emissions'!$E$94:$Q$94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Emissions'!$E$95:$Q$95</c:f>
              <c:numCache>
                <c:formatCode>_(* #,##0_);_(* \(#,##0\);_(* "-"??_);_(@_)</c:formatCode>
                <c:ptCount val="13"/>
                <c:pt idx="0">
                  <c:v>111475014.33333333</c:v>
                </c:pt>
                <c:pt idx="1">
                  <c:v>111854228</c:v>
                </c:pt>
                <c:pt idx="2">
                  <c:v>114836355</c:v>
                </c:pt>
                <c:pt idx="3">
                  <c:v>109318514</c:v>
                </c:pt>
                <c:pt idx="4">
                  <c:v>107377255</c:v>
                </c:pt>
                <c:pt idx="5">
                  <c:v>59464078</c:v>
                </c:pt>
                <c:pt idx="6">
                  <c:v>42589557</c:v>
                </c:pt>
                <c:pt idx="7">
                  <c:v>38671377</c:v>
                </c:pt>
                <c:pt idx="8">
                  <c:v>43527184</c:v>
                </c:pt>
                <c:pt idx="9">
                  <c:v>38189014</c:v>
                </c:pt>
                <c:pt idx="10">
                  <c:v>40975240</c:v>
                </c:pt>
                <c:pt idx="11">
                  <c:v>36491618</c:v>
                </c:pt>
                <c:pt idx="12">
                  <c:v>48651545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45458592"/>
        <c:axId val="345460944"/>
      </c:barChart>
      <c:barChart>
        <c:barDir val="col"/>
        <c:grouping val="clustered"/>
        <c:varyColors val="0"/>
        <c:ser>
          <c:idx val="1"/>
          <c:order val="1"/>
          <c:tx>
            <c:strRef>
              <c:f>'Overview Usage + GHG Emissions'!$A$96</c:f>
              <c:strCache>
                <c:ptCount val="1"/>
                <c:pt idx="0">
                  <c:v>% Change from Baseline 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'Overview Usage + GHG Emissions'!$E$94:$Q$94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Emissions'!$E$96:$Q$96</c:f>
              <c:numCache>
                <c:formatCode>0%</c:formatCode>
                <c:ptCount val="13"/>
                <c:pt idx="0">
                  <c:v>0</c:v>
                </c:pt>
                <c:pt idx="1">
                  <c:v>3.4017817260174948E-3</c:v>
                </c:pt>
                <c:pt idx="2">
                  <c:v>3.0153310019907856E-2</c:v>
                </c:pt>
                <c:pt idx="3">
                  <c:v>-1.9345145154096566E-2</c:v>
                </c:pt>
                <c:pt idx="4">
                  <c:v>-3.675944208520289E-2</c:v>
                </c:pt>
                <c:pt idx="5">
                  <c:v>-0.46657034891971289</c:v>
                </c:pt>
                <c:pt idx="6">
                  <c:v>-0.61794526554041584</c:v>
                </c:pt>
                <c:pt idx="7">
                  <c:v>-0.65309376965528265</c:v>
                </c:pt>
                <c:pt idx="8">
                  <c:v>-0.60953416996346177</c:v>
                </c:pt>
                <c:pt idx="9">
                  <c:v>-0.65742086486029094</c:v>
                </c:pt>
                <c:pt idx="10">
                  <c:v>-0.63242669000718343</c:v>
                </c:pt>
                <c:pt idx="11">
                  <c:v>-0.6726475594711967</c:v>
                </c:pt>
                <c:pt idx="12">
                  <c:v>-0.56356547437148719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45458984"/>
        <c:axId val="345461728"/>
      </c:barChart>
      <c:catAx>
        <c:axId val="34545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45460944"/>
        <c:crosses val="autoZero"/>
        <c:auto val="1"/>
        <c:lblAlgn val="ctr"/>
        <c:lblOffset val="100"/>
        <c:noMultiLvlLbl val="0"/>
      </c:catAx>
      <c:valAx>
        <c:axId val="3454609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45458592"/>
        <c:crosses val="autoZero"/>
        <c:crossBetween val="between"/>
        <c:dispUnits>
          <c:builtInUnit val="millions"/>
          <c:dispUnitsLbl/>
        </c:dispUnits>
      </c:valAx>
      <c:valAx>
        <c:axId val="34546172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crossAx val="345458984"/>
        <c:crosses val="max"/>
        <c:crossBetween val="between"/>
      </c:valAx>
      <c:catAx>
        <c:axId val="345458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4617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Usage + GHG Emissions'!$A$111</c:f>
              <c:strCache>
                <c:ptCount val="1"/>
                <c:pt idx="0">
                  <c:v>Natural Gas (therms)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'Overview Usage + GHG Emissions'!$B$110:$N$110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Emissions'!$B$111:$N$111</c:f>
              <c:numCache>
                <c:formatCode>_(* #,##0_);_(* \(#,##0\);_(* "-"??_);_(@_)</c:formatCode>
                <c:ptCount val="13"/>
                <c:pt idx="0">
                  <c:v>5594974.333333333</c:v>
                </c:pt>
                <c:pt idx="1">
                  <c:v>4334886</c:v>
                </c:pt>
                <c:pt idx="2">
                  <c:v>2904380</c:v>
                </c:pt>
                <c:pt idx="3">
                  <c:v>3543141</c:v>
                </c:pt>
                <c:pt idx="4">
                  <c:v>7561623</c:v>
                </c:pt>
                <c:pt idx="5">
                  <c:v>12520923</c:v>
                </c:pt>
                <c:pt idx="6">
                  <c:v>13357108</c:v>
                </c:pt>
                <c:pt idx="7">
                  <c:v>14284953</c:v>
                </c:pt>
                <c:pt idx="8">
                  <c:v>15152031</c:v>
                </c:pt>
                <c:pt idx="9">
                  <c:v>17118309</c:v>
                </c:pt>
                <c:pt idx="10">
                  <c:v>16500046</c:v>
                </c:pt>
                <c:pt idx="11">
                  <c:v>16804975</c:v>
                </c:pt>
                <c:pt idx="12">
                  <c:v>16227910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345460552"/>
        <c:axId val="346163424"/>
      </c:barChart>
      <c:barChart>
        <c:barDir val="col"/>
        <c:grouping val="clustered"/>
        <c:varyColors val="0"/>
        <c:ser>
          <c:idx val="1"/>
          <c:order val="1"/>
          <c:tx>
            <c:strRef>
              <c:f>'Overview Usage + GHG Emissions'!$A$112</c:f>
              <c:strCache>
                <c:ptCount val="1"/>
                <c:pt idx="0">
                  <c:v>% Change since Baseline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'Overview Usage + GHG Emissions'!$B$110:$N$110</c:f>
              <c:strCache>
                <c:ptCount val="13"/>
                <c:pt idx="0">
                  <c:v>LBE Baseline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Usage + GHG Emissions'!$B$112:$N$112</c:f>
              <c:numCache>
                <c:formatCode>0%</c:formatCode>
                <c:ptCount val="13"/>
                <c:pt idx="0">
                  <c:v>0</c:v>
                </c:pt>
                <c:pt idx="1">
                  <c:v>-0.22521789346307988</c:v>
                </c:pt>
                <c:pt idx="2">
                  <c:v>-0.48089484831118973</c:v>
                </c:pt>
                <c:pt idx="3">
                  <c:v>-0.3667279260083588</c:v>
                </c:pt>
                <c:pt idx="4">
                  <c:v>0.35150271466839622</c:v>
                </c:pt>
                <c:pt idx="5">
                  <c:v>1.2378874779467264</c:v>
                </c:pt>
                <c:pt idx="6">
                  <c:v>1.3873403530060877</c:v>
                </c:pt>
                <c:pt idx="7">
                  <c:v>1.5531757875803187</c:v>
                </c:pt>
                <c:pt idx="8">
                  <c:v>1.7081502250561416</c:v>
                </c:pt>
                <c:pt idx="9">
                  <c:v>2.0595866897929769</c:v>
                </c:pt>
                <c:pt idx="10">
                  <c:v>1.9490834125363581</c:v>
                </c:pt>
                <c:pt idx="11">
                  <c:v>2.003583930650144</c:v>
                </c:pt>
                <c:pt idx="12">
                  <c:v>1.9004440473155584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60288"/>
        <c:axId val="346161072"/>
      </c:barChart>
      <c:catAx>
        <c:axId val="345460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46163424"/>
        <c:crosses val="autoZero"/>
        <c:auto val="1"/>
        <c:lblAlgn val="ctr"/>
        <c:lblOffset val="100"/>
        <c:noMultiLvlLbl val="0"/>
      </c:catAx>
      <c:valAx>
        <c:axId val="3461634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45460552"/>
        <c:crosses val="autoZero"/>
        <c:crossBetween val="between"/>
        <c:dispUnits>
          <c:builtInUnit val="millions"/>
          <c:dispUnitsLbl/>
        </c:dispUnits>
      </c:valAx>
      <c:valAx>
        <c:axId val="3461610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crossAx val="346160288"/>
        <c:crosses val="max"/>
        <c:crossBetween val="between"/>
      </c:valAx>
      <c:catAx>
        <c:axId val="34616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1610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EUI'!$A$17</c:f>
              <c:strCache>
                <c:ptCount val="1"/>
                <c:pt idx="0">
                  <c:v>Energy Usage Intensity (kBtu/SF)</c:v>
                </c:pt>
              </c:strCache>
            </c:strRef>
          </c:tx>
          <c:invertIfNegative val="0"/>
          <c:cat>
            <c:strRef>
              <c:f>'Overview EUI'!$E$1:$Q$1</c:f>
              <c:strCache>
                <c:ptCount val="13"/>
                <c:pt idx="0">
                  <c:v>FY2004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EUI'!$E$17:$Q$17</c:f>
              <c:numCache>
                <c:formatCode>_(* #,##0.00_);_(* \(#,##0.00\);_(* "-"??_);_(@_)</c:formatCode>
                <c:ptCount val="13"/>
                <c:pt idx="0">
                  <c:v>180.70856915210587</c:v>
                </c:pt>
                <c:pt idx="1">
                  <c:v>174.9516027538331</c:v>
                </c:pt>
                <c:pt idx="2">
                  <c:v>141.68497117927356</c:v>
                </c:pt>
                <c:pt idx="3">
                  <c:v>148.98640007427252</c:v>
                </c:pt>
                <c:pt idx="4">
                  <c:v>149.37545805457842</c:v>
                </c:pt>
                <c:pt idx="5">
                  <c:v>177.63699751939026</c:v>
                </c:pt>
                <c:pt idx="6">
                  <c:v>175.55344844969727</c:v>
                </c:pt>
                <c:pt idx="7">
                  <c:v>182.7152098965619</c:v>
                </c:pt>
                <c:pt idx="8">
                  <c:v>176.14868458962553</c:v>
                </c:pt>
                <c:pt idx="9">
                  <c:v>175.10725398430708</c:v>
                </c:pt>
                <c:pt idx="10">
                  <c:v>172.01881797156193</c:v>
                </c:pt>
                <c:pt idx="11">
                  <c:v>173.14797264707514</c:v>
                </c:pt>
                <c:pt idx="12">
                  <c:v>171.64838555237023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60680"/>
        <c:axId val="346159896"/>
      </c:barChart>
      <c:barChart>
        <c:barDir val="col"/>
        <c:grouping val="clustered"/>
        <c:varyColors val="0"/>
        <c:ser>
          <c:idx val="1"/>
          <c:order val="1"/>
          <c:tx>
            <c:strRef>
              <c:f>'Overview EUI'!$A$18</c:f>
              <c:strCache>
                <c:ptCount val="1"/>
                <c:pt idx="0">
                  <c:v>% Change since Baseline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'Overview EUI'!$E$1:$Q$1</c:f>
              <c:strCache>
                <c:ptCount val="13"/>
                <c:pt idx="0">
                  <c:v>FY2004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EUI'!$E$18:$Q$18</c:f>
              <c:numCache>
                <c:formatCode>0%</c:formatCode>
                <c:ptCount val="13"/>
                <c:pt idx="0">
                  <c:v>0</c:v>
                </c:pt>
                <c:pt idx="1">
                  <c:v>-3.1857738818279378E-2</c:v>
                </c:pt>
                <c:pt idx="2">
                  <c:v>-0.21594768945342815</c:v>
                </c:pt>
                <c:pt idx="3">
                  <c:v>-0.17554324748779448</c:v>
                </c:pt>
                <c:pt idx="4">
                  <c:v>-0.1733902893733488</c:v>
                </c:pt>
                <c:pt idx="5">
                  <c:v>-1.6997376754890922E-2</c:v>
                </c:pt>
                <c:pt idx="6">
                  <c:v>-2.8527262025241491E-2</c:v>
                </c:pt>
                <c:pt idx="7">
                  <c:v>1.1104292142156288E-2</c:v>
                </c:pt>
                <c:pt idx="8">
                  <c:v>-2.5233361007037759E-2</c:v>
                </c:pt>
                <c:pt idx="9">
                  <c:v>-3.0996400414659106E-2</c:v>
                </c:pt>
                <c:pt idx="10">
                  <c:v>-4.8087100801675907E-2</c:v>
                </c:pt>
                <c:pt idx="11">
                  <c:v>-4.1838616400458752E-2</c:v>
                </c:pt>
                <c:pt idx="12">
                  <c:v>-5.0136989309618775E-2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62248"/>
        <c:axId val="346166560"/>
      </c:barChart>
      <c:catAx>
        <c:axId val="346160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6159896"/>
        <c:crosses val="autoZero"/>
        <c:auto val="1"/>
        <c:lblAlgn val="ctr"/>
        <c:lblOffset val="100"/>
        <c:noMultiLvlLbl val="0"/>
      </c:catAx>
      <c:valAx>
        <c:axId val="346159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Weather Normalized EUI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346160680"/>
        <c:crosses val="autoZero"/>
        <c:crossBetween val="between"/>
      </c:valAx>
      <c:valAx>
        <c:axId val="34616656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crossAx val="346162248"/>
        <c:crosses val="max"/>
        <c:crossBetween val="between"/>
      </c:valAx>
      <c:catAx>
        <c:axId val="346162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61665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'Overview EUI'!$A$17</c:f>
              <c:strCache>
                <c:ptCount val="1"/>
                <c:pt idx="0">
                  <c:v>Energy Usage Intensity (kBtu/SF)</c:v>
                </c:pt>
              </c:strCache>
            </c:strRef>
          </c:tx>
          <c:invertIfNegative val="0"/>
          <c:cat>
            <c:strRef>
              <c:f>'Overview EUI'!$E$1:$Q$1</c:f>
              <c:strCache>
                <c:ptCount val="13"/>
                <c:pt idx="0">
                  <c:v>FY2004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EUI'!$E$37:$Q$37</c:f>
              <c:numCache>
                <c:formatCode>_(* #,##0.00_);_(* \(#,##0.00\);_(* "-"??_);_(@_)</c:formatCode>
                <c:ptCount val="13"/>
                <c:pt idx="0">
                  <c:v>179.1868060172296</c:v>
                </c:pt>
                <c:pt idx="1">
                  <c:v>176.56561097509129</c:v>
                </c:pt>
                <c:pt idx="2">
                  <c:v>141.58815300794345</c:v>
                </c:pt>
                <c:pt idx="3">
                  <c:v>149.07730277269246</c:v>
                </c:pt>
                <c:pt idx="4">
                  <c:v>149.93522918855933</c:v>
                </c:pt>
                <c:pt idx="5">
                  <c:v>179.62790507708775</c:v>
                </c:pt>
                <c:pt idx="6">
                  <c:v>171.31646716965383</c:v>
                </c:pt>
                <c:pt idx="7">
                  <c:v>184.31716038222476</c:v>
                </c:pt>
                <c:pt idx="8">
                  <c:v>162.77910267968326</c:v>
                </c:pt>
                <c:pt idx="9">
                  <c:v>177.98482837054291</c:v>
                </c:pt>
                <c:pt idx="10">
                  <c:v>176.45912737753795</c:v>
                </c:pt>
                <c:pt idx="11">
                  <c:v>178.16707264218738</c:v>
                </c:pt>
                <c:pt idx="12">
                  <c:v>163.90596114906481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64600"/>
        <c:axId val="346163816"/>
      </c:barChart>
      <c:barChart>
        <c:barDir val="col"/>
        <c:grouping val="clustered"/>
        <c:varyColors val="0"/>
        <c:ser>
          <c:idx val="1"/>
          <c:order val="1"/>
          <c:tx>
            <c:strRef>
              <c:f>'Overview EUI'!$A$18</c:f>
              <c:strCache>
                <c:ptCount val="1"/>
                <c:pt idx="0">
                  <c:v>% Change since Baseline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'Overview EUI'!$E$1:$Q$1</c:f>
              <c:strCache>
                <c:ptCount val="13"/>
                <c:pt idx="0">
                  <c:v>FY2004</c:v>
                </c:pt>
                <c:pt idx="1">
                  <c:v>FY2005</c:v>
                </c:pt>
                <c:pt idx="2">
                  <c:v>FY2006</c:v>
                </c:pt>
                <c:pt idx="3">
                  <c:v>FY2007</c:v>
                </c:pt>
                <c:pt idx="4">
                  <c:v>FY2008</c:v>
                </c:pt>
                <c:pt idx="5">
                  <c:v>FY2009</c:v>
                </c:pt>
                <c:pt idx="6">
                  <c:v>FY2010</c:v>
                </c:pt>
                <c:pt idx="7">
                  <c:v>FY2011</c:v>
                </c:pt>
                <c:pt idx="8">
                  <c:v>FY2012</c:v>
                </c:pt>
                <c:pt idx="9">
                  <c:v>FY2013</c:v>
                </c:pt>
                <c:pt idx="10">
                  <c:v>FY2014</c:v>
                </c:pt>
                <c:pt idx="11">
                  <c:v>FY2015</c:v>
                </c:pt>
                <c:pt idx="12">
                  <c:v>FY2016</c:v>
                </c:pt>
              </c:strCache>
            </c:strRef>
          </c:cat>
          <c:val>
            <c:numRef>
              <c:f>'Overview EUI'!$E$38:$Q$38</c:f>
              <c:numCache>
                <c:formatCode>0%</c:formatCode>
                <c:ptCount val="13"/>
                <c:pt idx="0">
                  <c:v>0</c:v>
                </c:pt>
                <c:pt idx="1">
                  <c:v>-1.4628281514690715E-2</c:v>
                </c:pt>
                <c:pt idx="2">
                  <c:v>-0.20982936101707667</c:v>
                </c:pt>
                <c:pt idx="3">
                  <c:v>-0.16803415337199534</c:v>
                </c:pt>
                <c:pt idx="4">
                  <c:v>-0.16324626505066225</c:v>
                </c:pt>
                <c:pt idx="5">
                  <c:v>2.4616715352118769E-3</c:v>
                </c:pt>
                <c:pt idx="6">
                  <c:v>-4.3922535495269657E-2</c:v>
                </c:pt>
                <c:pt idx="7">
                  <c:v>2.8631317668008718E-2</c:v>
                </c:pt>
                <c:pt idx="8">
                  <c:v>-9.1567586376692628E-2</c:v>
                </c:pt>
                <c:pt idx="9">
                  <c:v>-6.7079584340105402E-3</c:v>
                </c:pt>
                <c:pt idx="10">
                  <c:v>-1.5222541772575421E-2</c:v>
                </c:pt>
                <c:pt idx="11">
                  <c:v>-5.6908954275582653E-3</c:v>
                </c:pt>
                <c:pt idx="12">
                  <c:v>-8.5278850646489407E-2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62640"/>
        <c:axId val="346167344"/>
      </c:barChart>
      <c:catAx>
        <c:axId val="346164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6163816"/>
        <c:crosses val="autoZero"/>
        <c:auto val="1"/>
        <c:lblAlgn val="ctr"/>
        <c:lblOffset val="100"/>
        <c:noMultiLvlLbl val="0"/>
      </c:catAx>
      <c:valAx>
        <c:axId val="346163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Actual EUI (not weather normalized)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346164600"/>
        <c:crosses val="autoZero"/>
        <c:crossBetween val="between"/>
      </c:valAx>
      <c:valAx>
        <c:axId val="34616734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crossAx val="346162640"/>
        <c:crosses val="max"/>
        <c:crossBetween val="between"/>
      </c:valAx>
      <c:catAx>
        <c:axId val="34616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61673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37</xdr:row>
      <xdr:rowOff>38100</xdr:rowOff>
    </xdr:from>
    <xdr:to>
      <xdr:col>7</xdr:col>
      <xdr:colOff>552450</xdr:colOff>
      <xdr:row>51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224365</xdr:colOff>
      <xdr:row>52</xdr:row>
      <xdr:rowOff>52917</xdr:rowOff>
    </xdr:from>
    <xdr:to>
      <xdr:col>10</xdr:col>
      <xdr:colOff>592667</xdr:colOff>
      <xdr:row>68</xdr:row>
      <xdr:rowOff>43392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613833</xdr:colOff>
      <xdr:row>73</xdr:row>
      <xdr:rowOff>110065</xdr:rowOff>
    </xdr:from>
    <xdr:to>
      <xdr:col>8</xdr:col>
      <xdr:colOff>566209</xdr:colOff>
      <xdr:row>91</xdr:row>
      <xdr:rowOff>84667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624417</xdr:colOff>
      <xdr:row>96</xdr:row>
      <xdr:rowOff>157690</xdr:rowOff>
    </xdr:from>
    <xdr:to>
      <xdr:col>9</xdr:col>
      <xdr:colOff>74083</xdr:colOff>
      <xdr:row>107</xdr:row>
      <xdr:rowOff>42333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619123</xdr:colOff>
      <xdr:row>112</xdr:row>
      <xdr:rowOff>152400</xdr:rowOff>
    </xdr:from>
    <xdr:to>
      <xdr:col>8</xdr:col>
      <xdr:colOff>878416</xdr:colOff>
      <xdr:row>123</xdr:row>
      <xdr:rowOff>116417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529167</xdr:colOff>
      <xdr:row>38</xdr:row>
      <xdr:rowOff>123824</xdr:rowOff>
    </xdr:from>
    <xdr:to>
      <xdr:col>6</xdr:col>
      <xdr:colOff>984250</xdr:colOff>
      <xdr:row>53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533399</xdr:colOff>
      <xdr:row>53</xdr:row>
      <xdr:rowOff>76200</xdr:rowOff>
    </xdr:from>
    <xdr:to>
      <xdr:col>6</xdr:col>
      <xdr:colOff>984249</xdr:colOff>
      <xdr:row>67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tabSelected="1" zoomScale="90" zoomScaleNormal="90" workbookViewId="0">
      <selection activeCell="R16" sqref="R16"/>
    </sheetView>
  </sheetViews>
  <sheetFormatPr defaultRowHeight="15" x14ac:dyDescent="0.25"/>
  <cols>
    <col min="1" max="1" width="36.7109375" bestFit="1" customWidth="1"/>
    <col min="2" max="15" width="13.28515625" bestFit="1" customWidth="1"/>
    <col min="16" max="17" width="15" bestFit="1" customWidth="1"/>
    <col min="18" max="18" width="15" customWidth="1"/>
    <col min="19" max="19" width="9.28515625" bestFit="1" customWidth="1"/>
    <col min="20" max="20" width="13.85546875" bestFit="1" customWidth="1"/>
    <col min="21" max="21" width="13.85546875" customWidth="1"/>
    <col min="22" max="22" width="14.28515625" bestFit="1" customWidth="1"/>
    <col min="23" max="23" width="28.28515625" bestFit="1" customWidth="1"/>
  </cols>
  <sheetData>
    <row r="1" spans="1:19" ht="60" x14ac:dyDescent="0.25">
      <c r="A1" s="12" t="s">
        <v>52</v>
      </c>
      <c r="B1" s="13" t="s">
        <v>53</v>
      </c>
      <c r="C1" s="13" t="s">
        <v>54</v>
      </c>
      <c r="D1" s="13" t="s">
        <v>55</v>
      </c>
      <c r="E1" s="13" t="s">
        <v>82</v>
      </c>
      <c r="F1" s="13" t="s">
        <v>56</v>
      </c>
      <c r="G1" s="13" t="s">
        <v>57</v>
      </c>
      <c r="H1" s="13" t="s">
        <v>58</v>
      </c>
      <c r="I1" s="13" t="s">
        <v>59</v>
      </c>
      <c r="J1" s="13" t="s">
        <v>60</v>
      </c>
      <c r="K1" s="13" t="s">
        <v>61</v>
      </c>
      <c r="L1" s="13" t="s">
        <v>62</v>
      </c>
      <c r="M1" s="13" t="s">
        <v>63</v>
      </c>
      <c r="N1" s="13" t="s">
        <v>64</v>
      </c>
      <c r="O1" s="13" t="s">
        <v>167</v>
      </c>
      <c r="P1" s="13" t="s">
        <v>168</v>
      </c>
      <c r="Q1" s="13" t="s">
        <v>169</v>
      </c>
      <c r="R1" s="13" t="s">
        <v>186</v>
      </c>
      <c r="S1" s="13" t="s">
        <v>66</v>
      </c>
    </row>
    <row r="2" spans="1:19" x14ac:dyDescent="0.25">
      <c r="A2" s="2" t="s">
        <v>45</v>
      </c>
      <c r="B2" s="6"/>
      <c r="C2" s="6"/>
      <c r="D2" s="6"/>
      <c r="E2" s="6">
        <f>IFERROR(AVERAGE(B2:D2),0)</f>
        <v>0</v>
      </c>
      <c r="F2" s="6"/>
      <c r="G2" s="6"/>
      <c r="H2" s="6"/>
      <c r="I2" s="6"/>
      <c r="J2" s="6"/>
      <c r="K2" s="6"/>
      <c r="L2" s="6"/>
      <c r="M2" s="6">
        <v>0</v>
      </c>
      <c r="N2" s="6">
        <v>0</v>
      </c>
      <c r="O2" s="6"/>
      <c r="P2" s="6"/>
      <c r="Q2" s="6"/>
      <c r="R2" s="73"/>
      <c r="S2" s="8">
        <f>IFERROR((Q2-E2)/E2,0)</f>
        <v>0</v>
      </c>
    </row>
    <row r="3" spans="1:19" x14ac:dyDescent="0.25">
      <c r="A3" s="2" t="s">
        <v>38</v>
      </c>
      <c r="B3" s="6"/>
      <c r="C3" s="6"/>
      <c r="D3" s="6"/>
      <c r="E3" s="6">
        <f t="shared" ref="E3:E14" si="0">IFERROR(AVERAGE(B3:D3),0)</f>
        <v>0</v>
      </c>
      <c r="F3" s="6"/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/>
      <c r="P3" s="6"/>
      <c r="Q3" s="6"/>
      <c r="R3" s="73"/>
      <c r="S3" s="8">
        <f t="shared" ref="S3:S15" si="1">IFERROR((Q3-E3)/E3,0)</f>
        <v>0</v>
      </c>
    </row>
    <row r="4" spans="1:19" x14ac:dyDescent="0.25">
      <c r="A4" s="2" t="s">
        <v>17</v>
      </c>
      <c r="B4" s="6">
        <v>51895.394449439998</v>
      </c>
      <c r="C4" s="6">
        <v>77324.061681314997</v>
      </c>
      <c r="D4" s="6">
        <v>80632.164932415006</v>
      </c>
      <c r="E4" s="6">
        <f t="shared" si="0"/>
        <v>69950.540354390003</v>
      </c>
      <c r="F4" s="6">
        <v>78373.528919595003</v>
      </c>
      <c r="G4" s="6">
        <v>59275.886875169999</v>
      </c>
      <c r="H4" s="6">
        <v>60517.376198714999</v>
      </c>
      <c r="I4" s="6">
        <v>34389.064141319999</v>
      </c>
      <c r="J4" s="6">
        <v>1766.2229426850001</v>
      </c>
      <c r="K4" s="6"/>
      <c r="L4" s="6"/>
      <c r="M4" s="6"/>
      <c r="N4" s="6"/>
      <c r="O4" s="6"/>
      <c r="P4" s="6"/>
      <c r="Q4" s="6"/>
      <c r="R4" s="73"/>
      <c r="S4" s="8">
        <f t="shared" si="1"/>
        <v>-1</v>
      </c>
    </row>
    <row r="5" spans="1:19" x14ac:dyDescent="0.25">
      <c r="A5" s="2" t="s">
        <v>23</v>
      </c>
      <c r="B5" s="6">
        <v>659.73786651049022</v>
      </c>
      <c r="C5" s="6">
        <v>385.93160044219525</v>
      </c>
      <c r="D5" s="6">
        <v>434.48399789616195</v>
      </c>
      <c r="E5" s="6">
        <f t="shared" si="0"/>
        <v>493.38448828294918</v>
      </c>
      <c r="F5" s="6">
        <v>486.86598036444877</v>
      </c>
      <c r="G5" s="6">
        <v>402.36975827078601</v>
      </c>
      <c r="H5" s="6">
        <v>434.27477426629821</v>
      </c>
      <c r="I5" s="6">
        <v>429.25451038316908</v>
      </c>
      <c r="J5" s="6">
        <v>446.82901687988289</v>
      </c>
      <c r="K5" s="6">
        <v>361.97235483846549</v>
      </c>
      <c r="L5" s="6">
        <v>425.66914722275425</v>
      </c>
      <c r="M5" s="6">
        <v>470.5433771554429</v>
      </c>
      <c r="N5" s="6">
        <v>342.90106566875482</v>
      </c>
      <c r="O5" s="6">
        <v>528</v>
      </c>
      <c r="P5" s="6">
        <v>583</v>
      </c>
      <c r="Q5" s="6">
        <v>523</v>
      </c>
      <c r="R5" s="73">
        <v>502</v>
      </c>
      <c r="S5" s="8">
        <f t="shared" si="1"/>
        <v>6.0025218506802216E-2</v>
      </c>
    </row>
    <row r="6" spans="1:19" x14ac:dyDescent="0.25">
      <c r="A6" s="2" t="s">
        <v>27</v>
      </c>
      <c r="B6" s="6">
        <v>1414.74467236277</v>
      </c>
      <c r="C6" s="6">
        <v>1433.0080971312636</v>
      </c>
      <c r="D6" s="6">
        <v>1481.8574522093543</v>
      </c>
      <c r="E6" s="6">
        <f t="shared" si="0"/>
        <v>1443.2034072344625</v>
      </c>
      <c r="F6" s="6">
        <v>1493.0211311598248</v>
      </c>
      <c r="G6" s="6">
        <v>1400.3124204193211</v>
      </c>
      <c r="H6" s="6">
        <v>1438.1341097109537</v>
      </c>
      <c r="I6" s="6">
        <v>1459.1109151834057</v>
      </c>
      <c r="J6" s="6">
        <v>1478.6411335612124</v>
      </c>
      <c r="K6" s="6">
        <v>1414.0196380912471</v>
      </c>
      <c r="L6" s="6">
        <v>1432.8849749255528</v>
      </c>
      <c r="M6" s="6">
        <v>1363.2884050642499</v>
      </c>
      <c r="N6" s="6">
        <v>1543.9707600576819</v>
      </c>
      <c r="O6" s="6">
        <v>1418</v>
      </c>
      <c r="P6" s="6">
        <v>1404</v>
      </c>
      <c r="Q6" s="6">
        <v>1303</v>
      </c>
      <c r="R6" s="73">
        <v>1257.19</v>
      </c>
      <c r="S6" s="8">
        <f t="shared" si="1"/>
        <v>-9.714736435048138E-2</v>
      </c>
    </row>
    <row r="7" spans="1:19" x14ac:dyDescent="0.25">
      <c r="A7" s="2" t="s">
        <v>28</v>
      </c>
      <c r="B7" s="6">
        <v>58894.053869992611</v>
      </c>
      <c r="C7" s="6">
        <v>62330.30296198772</v>
      </c>
      <c r="D7" s="6">
        <v>63513.023724185143</v>
      </c>
      <c r="E7" s="6">
        <f t="shared" si="0"/>
        <v>61579.12685205516</v>
      </c>
      <c r="F7" s="6">
        <v>61827.298495932919</v>
      </c>
      <c r="G7" s="6">
        <v>60000.086503532984</v>
      </c>
      <c r="H7" s="6">
        <v>54358.180989538974</v>
      </c>
      <c r="I7" s="6">
        <v>51873.819926360535</v>
      </c>
      <c r="J7" s="6">
        <v>26693.063765937331</v>
      </c>
      <c r="K7" s="6">
        <v>18548.603209924109</v>
      </c>
      <c r="L7" s="6">
        <v>15761.794362943459</v>
      </c>
      <c r="M7" s="6">
        <v>17740.938560475948</v>
      </c>
      <c r="N7" s="6">
        <v>15565.191422885428</v>
      </c>
      <c r="O7" s="6">
        <v>13977</v>
      </c>
      <c r="P7" s="6">
        <v>12448</v>
      </c>
      <c r="Q7" s="6">
        <v>16596</v>
      </c>
      <c r="R7" s="73">
        <v>15611.96</v>
      </c>
      <c r="S7" s="8">
        <f t="shared" si="1"/>
        <v>-0.73049309322179645</v>
      </c>
    </row>
    <row r="8" spans="1:19" x14ac:dyDescent="0.25">
      <c r="A8" s="2" t="s">
        <v>50</v>
      </c>
      <c r="B8" s="6"/>
      <c r="C8" s="6"/>
      <c r="D8" s="6"/>
      <c r="E8" s="6">
        <f t="shared" si="0"/>
        <v>0</v>
      </c>
      <c r="F8" s="6"/>
      <c r="G8" s="6"/>
      <c r="H8" s="6"/>
      <c r="I8" s="6"/>
      <c r="J8" s="6"/>
      <c r="K8" s="6"/>
      <c r="L8" s="6"/>
      <c r="M8" s="6"/>
      <c r="N8" s="6">
        <v>7689.4467743620007</v>
      </c>
      <c r="O8" s="6">
        <v>9475</v>
      </c>
      <c r="P8" s="6">
        <v>13303</v>
      </c>
      <c r="Q8" s="6">
        <v>10702</v>
      </c>
      <c r="R8" s="73">
        <v>9838.59</v>
      </c>
      <c r="S8" s="8">
        <f t="shared" si="1"/>
        <v>0</v>
      </c>
    </row>
    <row r="9" spans="1:19" x14ac:dyDescent="0.25">
      <c r="A9" s="2" t="s">
        <v>31</v>
      </c>
      <c r="B9" s="6">
        <v>38237.406117574799</v>
      </c>
      <c r="C9" s="6">
        <v>26245.868046995402</v>
      </c>
      <c r="D9" s="6">
        <v>24797.366123930002</v>
      </c>
      <c r="E9" s="6">
        <f t="shared" si="0"/>
        <v>29760.213429500069</v>
      </c>
      <c r="F9" s="6">
        <v>23057.680851896403</v>
      </c>
      <c r="G9" s="6">
        <v>15448.680106612001</v>
      </c>
      <c r="H9" s="6">
        <v>18846.3120809334</v>
      </c>
      <c r="I9" s="6">
        <v>40221.009239080202</v>
      </c>
      <c r="J9" s="6">
        <v>66600.008974900207</v>
      </c>
      <c r="K9" s="6">
        <v>71047.758434319199</v>
      </c>
      <c r="L9" s="6">
        <v>75983.056361422205</v>
      </c>
      <c r="M9" s="6">
        <v>80595.128696819404</v>
      </c>
      <c r="N9" s="6">
        <v>91053.952894296599</v>
      </c>
      <c r="O9" s="6">
        <v>87765</v>
      </c>
      <c r="P9" s="6">
        <v>89387</v>
      </c>
      <c r="Q9" s="6">
        <v>86318</v>
      </c>
      <c r="R9" s="73">
        <v>90592.84</v>
      </c>
      <c r="S9" s="8">
        <f t="shared" si="1"/>
        <v>1.9004496289813746</v>
      </c>
    </row>
    <row r="10" spans="1:19" x14ac:dyDescent="0.25">
      <c r="A10" s="2" t="s">
        <v>33</v>
      </c>
      <c r="B10" s="6">
        <v>4011.4736193033</v>
      </c>
      <c r="C10" s="6">
        <v>5194.6384465170004</v>
      </c>
      <c r="D10" s="6">
        <v>5699.6979599762999</v>
      </c>
      <c r="E10" s="6">
        <f t="shared" si="0"/>
        <v>4968.6033419322002</v>
      </c>
      <c r="F10" s="6">
        <v>5387.3116782669003</v>
      </c>
      <c r="G10" s="6">
        <v>4297.0201025939996</v>
      </c>
      <c r="H10" s="6">
        <v>5800.8853261925997</v>
      </c>
      <c r="I10" s="6">
        <v>2117.9671564032001</v>
      </c>
      <c r="J10" s="6">
        <v>310.72439953660597</v>
      </c>
      <c r="K10" s="6">
        <v>226.93962585419999</v>
      </c>
      <c r="L10" s="6">
        <v>216.08537062139999</v>
      </c>
      <c r="M10" s="6">
        <v>238.3549563105</v>
      </c>
      <c r="N10" s="6">
        <v>278.72176829940003</v>
      </c>
      <c r="O10" s="6">
        <v>283</v>
      </c>
      <c r="P10" s="6">
        <v>261</v>
      </c>
      <c r="Q10" s="6">
        <v>243</v>
      </c>
      <c r="R10" s="73">
        <v>215.95</v>
      </c>
      <c r="S10" s="8">
        <f t="shared" si="1"/>
        <v>-0.95109289607620362</v>
      </c>
    </row>
    <row r="11" spans="1:19" x14ac:dyDescent="0.25">
      <c r="A11" s="2" t="s">
        <v>44</v>
      </c>
      <c r="B11" s="6"/>
      <c r="C11" s="6"/>
      <c r="D11" s="6"/>
      <c r="E11" s="6">
        <f t="shared" si="0"/>
        <v>0</v>
      </c>
      <c r="F11" s="6"/>
      <c r="G11" s="6"/>
      <c r="H11" s="6"/>
      <c r="I11" s="6"/>
      <c r="J11" s="6"/>
      <c r="K11" s="6"/>
      <c r="L11" s="6">
        <v>0</v>
      </c>
      <c r="M11" s="6">
        <v>0</v>
      </c>
      <c r="N11" s="6">
        <v>0</v>
      </c>
      <c r="O11" s="6"/>
      <c r="P11" s="6"/>
      <c r="Q11" s="6"/>
      <c r="R11" s="73"/>
      <c r="S11" s="8">
        <f t="shared" si="1"/>
        <v>0</v>
      </c>
    </row>
    <row r="12" spans="1:19" x14ac:dyDescent="0.25">
      <c r="A12" s="2" t="s">
        <v>37</v>
      </c>
      <c r="B12" s="6"/>
      <c r="C12" s="6"/>
      <c r="D12" s="6">
        <v>0</v>
      </c>
      <c r="E12" s="6">
        <f t="shared" si="0"/>
        <v>0</v>
      </c>
      <c r="F12" s="6">
        <v>0</v>
      </c>
      <c r="G12" s="6">
        <v>0</v>
      </c>
      <c r="H12" s="6">
        <v>0</v>
      </c>
      <c r="I12" s="6"/>
      <c r="J12" s="6"/>
      <c r="K12" s="6"/>
      <c r="L12" s="6"/>
      <c r="M12" s="6"/>
      <c r="N12" s="6"/>
      <c r="O12" s="6"/>
      <c r="P12" s="6"/>
      <c r="Q12" s="6"/>
      <c r="R12" s="73"/>
      <c r="S12" s="8">
        <f t="shared" si="1"/>
        <v>0</v>
      </c>
    </row>
    <row r="13" spans="1:19" x14ac:dyDescent="0.25">
      <c r="A13" s="2" t="s">
        <v>35</v>
      </c>
      <c r="B13" s="6">
        <v>301.44431354200003</v>
      </c>
      <c r="C13" s="6">
        <v>231.100736856</v>
      </c>
      <c r="D13" s="6">
        <v>352.78457356600001</v>
      </c>
      <c r="E13" s="6">
        <f t="shared" si="0"/>
        <v>295.10987465466673</v>
      </c>
      <c r="F13" s="6">
        <v>388.97087698400003</v>
      </c>
      <c r="G13" s="6">
        <v>330.01885528299999</v>
      </c>
      <c r="H13" s="6">
        <v>285.59468945600003</v>
      </c>
      <c r="I13" s="6">
        <v>211.674222477</v>
      </c>
      <c r="J13" s="6">
        <v>311.93150080300001</v>
      </c>
      <c r="K13" s="6">
        <v>232.60221916700002</v>
      </c>
      <c r="L13" s="6">
        <v>238.21973406800001</v>
      </c>
      <c r="M13" s="6">
        <v>167.85296846599999</v>
      </c>
      <c r="N13" s="6">
        <v>181.11134713358001</v>
      </c>
      <c r="O13" s="6">
        <v>237</v>
      </c>
      <c r="P13" s="6">
        <v>271</v>
      </c>
      <c r="Q13" s="6">
        <v>180</v>
      </c>
      <c r="R13" s="73">
        <v>206.76</v>
      </c>
      <c r="S13" s="8">
        <f t="shared" si="1"/>
        <v>-0.39005768542772967</v>
      </c>
    </row>
    <row r="14" spans="1:19" x14ac:dyDescent="0.25">
      <c r="A14" s="2" t="s">
        <v>43</v>
      </c>
      <c r="B14" s="6"/>
      <c r="C14" s="6"/>
      <c r="D14" s="6"/>
      <c r="E14" s="6">
        <f t="shared" si="0"/>
        <v>0</v>
      </c>
      <c r="F14" s="6"/>
      <c r="G14" s="6"/>
      <c r="H14" s="6"/>
      <c r="I14" s="6"/>
      <c r="J14" s="6">
        <v>32005.701732054102</v>
      </c>
      <c r="K14" s="6">
        <v>26370.596712706199</v>
      </c>
      <c r="L14" s="6">
        <v>31579.506872635498</v>
      </c>
      <c r="M14" s="6">
        <v>12234.4186716684</v>
      </c>
      <c r="N14" s="6">
        <v>5756.5807862715001</v>
      </c>
      <c r="O14" s="3">
        <v>13543</v>
      </c>
      <c r="P14" s="3">
        <v>12267</v>
      </c>
      <c r="Q14" s="3">
        <v>7524</v>
      </c>
      <c r="R14" s="109">
        <v>1718.87</v>
      </c>
      <c r="S14" s="8">
        <f t="shared" si="1"/>
        <v>0</v>
      </c>
    </row>
    <row r="15" spans="1:19" x14ac:dyDescent="0.25">
      <c r="A15" s="4" t="s">
        <v>51</v>
      </c>
      <c r="B15" s="6">
        <f>SUM(B2:B14)</f>
        <v>155414.25490872594</v>
      </c>
      <c r="C15" s="6">
        <f t="shared" ref="C15:R15" si="2">SUM(C2:C14)</f>
        <v>173144.91157124456</v>
      </c>
      <c r="D15" s="6">
        <f t="shared" si="2"/>
        <v>176911.37876417796</v>
      </c>
      <c r="E15" s="6">
        <f t="shared" si="2"/>
        <v>168490.18174804951</v>
      </c>
      <c r="F15" s="6">
        <f t="shared" si="2"/>
        <v>171014.67793419951</v>
      </c>
      <c r="G15" s="6">
        <f t="shared" si="2"/>
        <v>141154.3746218821</v>
      </c>
      <c r="H15" s="6">
        <f t="shared" si="2"/>
        <v>141680.75816881322</v>
      </c>
      <c r="I15" s="6">
        <f t="shared" si="2"/>
        <v>130701.90011120751</v>
      </c>
      <c r="J15" s="6">
        <f t="shared" si="2"/>
        <v>129613.12346635734</v>
      </c>
      <c r="K15" s="6">
        <f t="shared" si="2"/>
        <v>118202.49219490042</v>
      </c>
      <c r="L15" s="6">
        <f t="shared" si="2"/>
        <v>125637.21682383885</v>
      </c>
      <c r="M15" s="6">
        <f t="shared" si="2"/>
        <v>112810.52563595996</v>
      </c>
      <c r="N15" s="6">
        <f t="shared" si="2"/>
        <v>122411.87681897494</v>
      </c>
      <c r="O15" s="6">
        <f t="shared" si="2"/>
        <v>127226</v>
      </c>
      <c r="P15" s="6">
        <f t="shared" si="2"/>
        <v>129924</v>
      </c>
      <c r="Q15" s="6">
        <f t="shared" si="2"/>
        <v>123389</v>
      </c>
      <c r="R15" s="73">
        <f t="shared" si="2"/>
        <v>119944.15999999997</v>
      </c>
      <c r="S15" s="8">
        <f t="shared" si="1"/>
        <v>-0.26767839692576989</v>
      </c>
    </row>
    <row r="16" spans="1:19" ht="30" x14ac:dyDescent="0.25">
      <c r="A16" s="14" t="s">
        <v>81</v>
      </c>
      <c r="B16" s="9"/>
      <c r="C16" s="9"/>
      <c r="D16" s="9"/>
      <c r="E16" s="8">
        <f>(E15-$E15)/$E15</f>
        <v>0</v>
      </c>
      <c r="F16" s="8">
        <f t="shared" ref="F16:R16" si="3">(F15-$E15)/$E15</f>
        <v>1.4983046252065839E-2</v>
      </c>
      <c r="G16" s="8">
        <f t="shared" si="3"/>
        <v>-0.16223976283106983</v>
      </c>
      <c r="H16" s="8">
        <f t="shared" si="3"/>
        <v>-0.15911564282912077</v>
      </c>
      <c r="I16" s="8">
        <f t="shared" si="3"/>
        <v>-0.22427586726298637</v>
      </c>
      <c r="J16" s="8">
        <f t="shared" si="3"/>
        <v>-0.23073782625403463</v>
      </c>
      <c r="K16" s="8">
        <f t="shared" si="3"/>
        <v>-0.29846065231472296</v>
      </c>
      <c r="L16" s="8">
        <f t="shared" si="3"/>
        <v>-0.25433508635114715</v>
      </c>
      <c r="M16" s="8">
        <f t="shared" si="3"/>
        <v>-0.33046231854239255</v>
      </c>
      <c r="N16" s="8">
        <f t="shared" si="3"/>
        <v>-0.27347768547117723</v>
      </c>
      <c r="O16" s="8">
        <f t="shared" si="3"/>
        <v>-0.24490555663209851</v>
      </c>
      <c r="P16" s="8">
        <f t="shared" si="3"/>
        <v>-0.22889275415299362</v>
      </c>
      <c r="Q16" s="8">
        <f t="shared" si="3"/>
        <v>-0.26767839692576989</v>
      </c>
      <c r="R16" s="8">
        <f t="shared" si="3"/>
        <v>-0.28812374254923917</v>
      </c>
    </row>
    <row r="18" spans="1:23" ht="60" x14ac:dyDescent="0.25">
      <c r="A18" s="12" t="s">
        <v>80</v>
      </c>
      <c r="B18" s="13" t="s">
        <v>53</v>
      </c>
      <c r="C18" s="13" t="s">
        <v>54</v>
      </c>
      <c r="D18" s="13" t="s">
        <v>55</v>
      </c>
      <c r="E18" s="13" t="s">
        <v>65</v>
      </c>
      <c r="F18" s="13" t="s">
        <v>56</v>
      </c>
      <c r="G18" s="13" t="s">
        <v>57</v>
      </c>
      <c r="H18" s="13" t="s">
        <v>58</v>
      </c>
      <c r="I18" s="13" t="s">
        <v>59</v>
      </c>
      <c r="J18" s="13" t="s">
        <v>60</v>
      </c>
      <c r="K18" s="13" t="s">
        <v>61</v>
      </c>
      <c r="L18" s="13" t="s">
        <v>62</v>
      </c>
      <c r="M18" s="13" t="s">
        <v>63</v>
      </c>
      <c r="N18" s="13" t="s">
        <v>64</v>
      </c>
      <c r="O18" s="13" t="s">
        <v>167</v>
      </c>
      <c r="P18" s="13" t="s">
        <v>168</v>
      </c>
      <c r="Q18" s="13" t="s">
        <v>169</v>
      </c>
      <c r="R18" s="13" t="s">
        <v>186</v>
      </c>
      <c r="S18" s="13" t="s">
        <v>66</v>
      </c>
      <c r="T18" s="13" t="s">
        <v>181</v>
      </c>
      <c r="U18" s="13" t="s">
        <v>187</v>
      </c>
      <c r="V18" s="13" t="s">
        <v>180</v>
      </c>
      <c r="W18" s="112" t="s">
        <v>182</v>
      </c>
    </row>
    <row r="19" spans="1:23" x14ac:dyDescent="0.25">
      <c r="A19" s="11" t="s">
        <v>67</v>
      </c>
      <c r="B19" s="6"/>
      <c r="C19" s="6"/>
      <c r="D19" s="6"/>
      <c r="E19" s="6">
        <f>IFERROR(AVERAGE(B19:D19),0)</f>
        <v>0</v>
      </c>
      <c r="F19" s="6"/>
      <c r="G19" s="6"/>
      <c r="H19" s="6"/>
      <c r="I19" s="6"/>
      <c r="J19" s="6"/>
      <c r="K19" s="6"/>
      <c r="L19" s="6"/>
      <c r="M19" s="6">
        <v>138177000</v>
      </c>
      <c r="N19" s="6">
        <v>100288000</v>
      </c>
      <c r="O19" s="6">
        <v>143063000</v>
      </c>
      <c r="P19" s="6">
        <v>144721000</v>
      </c>
      <c r="Q19" s="6">
        <v>59044</v>
      </c>
      <c r="R19" s="73"/>
      <c r="S19" s="8">
        <f>IFERROR((Q19-E19)/E19,0)</f>
        <v>0</v>
      </c>
      <c r="T19" s="69"/>
      <c r="U19" s="69"/>
      <c r="V19" s="69"/>
    </row>
    <row r="20" spans="1:23" x14ac:dyDescent="0.25">
      <c r="A20" s="11" t="s">
        <v>68</v>
      </c>
      <c r="B20" s="6"/>
      <c r="C20" s="6"/>
      <c r="D20" s="6"/>
      <c r="E20" s="6">
        <f t="shared" ref="E20:E33" si="4">IFERROR(AVERAGE(B20:D20),0)</f>
        <v>0</v>
      </c>
      <c r="F20" s="6"/>
      <c r="G20" s="6">
        <v>7723</v>
      </c>
      <c r="H20" s="6">
        <v>8362</v>
      </c>
      <c r="I20" s="6">
        <v>8284</v>
      </c>
      <c r="J20" s="6">
        <v>8641</v>
      </c>
      <c r="K20" s="6">
        <v>7000</v>
      </c>
      <c r="L20" s="6">
        <v>8231.7999999999993</v>
      </c>
      <c r="M20" s="6">
        <v>9099.6</v>
      </c>
      <c r="N20" s="6">
        <v>5851.05</v>
      </c>
      <c r="O20" s="6">
        <v>2689</v>
      </c>
      <c r="P20" s="6">
        <v>2965</v>
      </c>
      <c r="Q20" s="6">
        <v>2661</v>
      </c>
      <c r="R20" s="73"/>
      <c r="S20" s="8">
        <f t="shared" ref="S20:S33" si="5">IFERROR((Q20-E20)/E20,0)</f>
        <v>0</v>
      </c>
      <c r="T20" s="69"/>
      <c r="U20" s="69"/>
      <c r="V20" s="69"/>
    </row>
    <row r="21" spans="1:23" x14ac:dyDescent="0.25">
      <c r="A21" s="11" t="s">
        <v>69</v>
      </c>
      <c r="B21" s="3">
        <v>27296</v>
      </c>
      <c r="C21" s="3">
        <v>40671</v>
      </c>
      <c r="D21" s="3">
        <v>42411</v>
      </c>
      <c r="E21" s="6">
        <f t="shared" si="4"/>
        <v>36792.666666666664</v>
      </c>
      <c r="F21" s="3">
        <v>41223</v>
      </c>
      <c r="G21" s="3">
        <v>31178</v>
      </c>
      <c r="H21" s="3">
        <v>31831</v>
      </c>
      <c r="I21" s="3">
        <v>18088</v>
      </c>
      <c r="J21" s="3">
        <v>929</v>
      </c>
      <c r="K21" s="6"/>
      <c r="L21" s="6"/>
      <c r="M21" s="6"/>
      <c r="N21" s="6"/>
      <c r="O21" s="6"/>
      <c r="P21" s="6"/>
      <c r="Q21" s="6"/>
      <c r="R21" s="73"/>
      <c r="S21" s="8">
        <f t="shared" si="5"/>
        <v>-1</v>
      </c>
      <c r="T21" s="69"/>
      <c r="U21" s="69"/>
      <c r="V21" s="69"/>
    </row>
    <row r="22" spans="1:23" x14ac:dyDescent="0.25">
      <c r="A22" s="11" t="s">
        <v>70</v>
      </c>
      <c r="B22" s="6"/>
      <c r="C22" s="6"/>
      <c r="D22" s="6"/>
      <c r="E22" s="6">
        <f t="shared" si="4"/>
        <v>0</v>
      </c>
      <c r="F22" s="6"/>
      <c r="G22" s="6"/>
      <c r="H22" s="6"/>
      <c r="I22" s="6">
        <v>143351841</v>
      </c>
      <c r="J22" s="6">
        <v>606166503</v>
      </c>
      <c r="K22" s="6">
        <v>562164072</v>
      </c>
      <c r="L22" s="6">
        <v>676556684</v>
      </c>
      <c r="M22" s="6">
        <v>596827928</v>
      </c>
      <c r="N22" s="6">
        <v>628305941</v>
      </c>
      <c r="O22" s="6">
        <v>801871460</v>
      </c>
      <c r="P22" s="6">
        <v>1311666326</v>
      </c>
      <c r="Q22" s="6">
        <v>1215100222</v>
      </c>
      <c r="R22" s="73"/>
      <c r="S22" s="8">
        <f t="shared" si="5"/>
        <v>0</v>
      </c>
      <c r="T22" s="69"/>
      <c r="U22" s="69"/>
      <c r="V22" s="69"/>
    </row>
    <row r="23" spans="1:23" x14ac:dyDescent="0.25">
      <c r="A23" s="11" t="s">
        <v>71</v>
      </c>
      <c r="B23" s="6">
        <v>62736</v>
      </c>
      <c r="C23" s="6">
        <v>36804</v>
      </c>
      <c r="D23" s="6">
        <v>41549</v>
      </c>
      <c r="E23" s="6">
        <f t="shared" si="4"/>
        <v>47029.666666666664</v>
      </c>
      <c r="F23" s="6">
        <v>46622</v>
      </c>
      <c r="G23" s="6">
        <v>38615</v>
      </c>
      <c r="H23" s="6">
        <v>41810</v>
      </c>
      <c r="I23" s="6">
        <v>41420</v>
      </c>
      <c r="J23" s="6">
        <v>43205</v>
      </c>
      <c r="K23" s="6">
        <v>35000</v>
      </c>
      <c r="L23" s="6">
        <v>41158.999999999993</v>
      </c>
      <c r="M23" s="6">
        <v>45498</v>
      </c>
      <c r="N23" s="6">
        <v>33155.949999999997</v>
      </c>
      <c r="O23" s="6">
        <v>51098</v>
      </c>
      <c r="P23" s="6">
        <v>56337</v>
      </c>
      <c r="Q23" s="6">
        <v>50558</v>
      </c>
      <c r="R23" s="73"/>
      <c r="S23" s="8">
        <f t="shared" si="5"/>
        <v>7.5023566684858545E-2</v>
      </c>
      <c r="T23" s="69"/>
      <c r="U23" s="69"/>
      <c r="V23" s="69"/>
    </row>
    <row r="24" spans="1:23" x14ac:dyDescent="0.25">
      <c r="A24" s="11" t="s">
        <v>72</v>
      </c>
      <c r="B24" s="6">
        <v>153254</v>
      </c>
      <c r="C24" s="6">
        <v>155676</v>
      </c>
      <c r="D24" s="6">
        <v>161429</v>
      </c>
      <c r="E24" s="6">
        <f t="shared" si="4"/>
        <v>156786.33333333334</v>
      </c>
      <c r="F24" s="6">
        <v>162868</v>
      </c>
      <c r="G24" s="6">
        <v>153089</v>
      </c>
      <c r="H24" s="6">
        <v>157726</v>
      </c>
      <c r="I24" s="6">
        <v>160388</v>
      </c>
      <c r="J24" s="6">
        <v>162871</v>
      </c>
      <c r="K24" s="6">
        <v>155753</v>
      </c>
      <c r="L24" s="6">
        <v>157831</v>
      </c>
      <c r="M24" s="6">
        <v>150165</v>
      </c>
      <c r="N24" s="6">
        <v>170067</v>
      </c>
      <c r="O24" s="6">
        <v>156208</v>
      </c>
      <c r="P24" s="6">
        <v>154626</v>
      </c>
      <c r="Q24" s="6">
        <v>143503</v>
      </c>
      <c r="R24" s="73"/>
      <c r="S24" s="8">
        <f t="shared" si="5"/>
        <v>-8.4722520457778047E-2</v>
      </c>
      <c r="T24" s="69"/>
      <c r="U24" s="69"/>
      <c r="V24" s="69"/>
    </row>
    <row r="25" spans="1:23" x14ac:dyDescent="0.25">
      <c r="A25" s="73" t="s">
        <v>73</v>
      </c>
      <c r="B25" s="6">
        <v>108753797</v>
      </c>
      <c r="C25" s="6">
        <v>112219171</v>
      </c>
      <c r="D25" s="6">
        <v>113452075</v>
      </c>
      <c r="E25" s="6">
        <f t="shared" si="4"/>
        <v>111475014.33333333</v>
      </c>
      <c r="F25" s="6">
        <v>111854228</v>
      </c>
      <c r="G25" s="6">
        <v>114836355</v>
      </c>
      <c r="H25" s="6">
        <v>109318514</v>
      </c>
      <c r="I25" s="6">
        <v>107377255</v>
      </c>
      <c r="J25" s="6">
        <v>59464078</v>
      </c>
      <c r="K25" s="6">
        <v>42589557</v>
      </c>
      <c r="L25" s="6">
        <v>38671377</v>
      </c>
      <c r="M25" s="6">
        <v>43527184</v>
      </c>
      <c r="N25" s="6">
        <v>38189014</v>
      </c>
      <c r="O25" s="6">
        <v>40975240</v>
      </c>
      <c r="P25" s="6">
        <v>36491618</v>
      </c>
      <c r="Q25" s="6">
        <v>48651545</v>
      </c>
      <c r="R25" s="73">
        <v>46809659</v>
      </c>
      <c r="S25" s="8">
        <f t="shared" si="5"/>
        <v>-0.56356547437148719</v>
      </c>
      <c r="T25" s="15">
        <v>165878</v>
      </c>
      <c r="U25" s="15">
        <v>159598</v>
      </c>
      <c r="V25" s="69" t="s">
        <v>179</v>
      </c>
      <c r="W25" t="s">
        <v>183</v>
      </c>
    </row>
    <row r="26" spans="1:23" x14ac:dyDescent="0.25">
      <c r="A26" s="11" t="s">
        <v>74</v>
      </c>
      <c r="B26" s="6"/>
      <c r="C26" s="6"/>
      <c r="D26" s="6"/>
      <c r="E26" s="6">
        <f t="shared" si="4"/>
        <v>0</v>
      </c>
      <c r="F26" s="6"/>
      <c r="G26" s="6"/>
      <c r="H26" s="6"/>
      <c r="I26" s="6"/>
      <c r="J26" s="6"/>
      <c r="K26" s="6"/>
      <c r="L26" s="6"/>
      <c r="M26" s="6"/>
      <c r="N26" s="6">
        <v>1445630</v>
      </c>
      <c r="O26" s="6">
        <v>1781370</v>
      </c>
      <c r="P26" s="6">
        <v>2501077</v>
      </c>
      <c r="Q26" s="6">
        <v>2011961</v>
      </c>
      <c r="R26" s="73">
        <v>1849672</v>
      </c>
      <c r="S26" s="8">
        <f t="shared" si="5"/>
        <v>0</v>
      </c>
      <c r="T26" s="109">
        <v>201196</v>
      </c>
      <c r="U26" s="109">
        <v>184967</v>
      </c>
      <c r="V26" s="69" t="s">
        <v>179</v>
      </c>
      <c r="W26" t="s">
        <v>184</v>
      </c>
    </row>
    <row r="27" spans="1:23" x14ac:dyDescent="0.25">
      <c r="A27" s="11" t="s">
        <v>75</v>
      </c>
      <c r="B27" s="6">
        <v>7188702</v>
      </c>
      <c r="C27" s="6">
        <v>4934271</v>
      </c>
      <c r="D27" s="6">
        <v>4661950</v>
      </c>
      <c r="E27" s="6">
        <f t="shared" si="4"/>
        <v>5594974.333333333</v>
      </c>
      <c r="F27" s="6">
        <v>4334886</v>
      </c>
      <c r="G27" s="6">
        <v>2904380</v>
      </c>
      <c r="H27" s="6">
        <v>3543141</v>
      </c>
      <c r="I27" s="6">
        <v>7561623</v>
      </c>
      <c r="J27" s="6">
        <v>12520923</v>
      </c>
      <c r="K27" s="6">
        <v>13357108</v>
      </c>
      <c r="L27" s="6">
        <v>14284953</v>
      </c>
      <c r="M27" s="6">
        <v>15152031</v>
      </c>
      <c r="N27" s="6">
        <v>17118309</v>
      </c>
      <c r="O27" s="6">
        <v>16500046</v>
      </c>
      <c r="P27" s="6">
        <v>16804975</v>
      </c>
      <c r="Q27" s="6">
        <v>16227910</v>
      </c>
      <c r="R27" s="73">
        <v>17031618</v>
      </c>
      <c r="S27" s="8">
        <f t="shared" si="5"/>
        <v>1.9004440473155584</v>
      </c>
      <c r="T27" s="15">
        <v>1295031</v>
      </c>
      <c r="U27" s="15">
        <v>1703162</v>
      </c>
      <c r="V27" s="69" t="s">
        <v>179</v>
      </c>
      <c r="W27" t="s">
        <v>184</v>
      </c>
    </row>
    <row r="28" spans="1:23" x14ac:dyDescent="0.25">
      <c r="A28" s="11" t="s">
        <v>76</v>
      </c>
      <c r="B28" s="6">
        <v>393229</v>
      </c>
      <c r="C28" s="6">
        <v>509210</v>
      </c>
      <c r="D28" s="6">
        <v>558719</v>
      </c>
      <c r="E28" s="6">
        <f t="shared" si="4"/>
        <v>487052.66666666669</v>
      </c>
      <c r="F28" s="6">
        <v>528097</v>
      </c>
      <c r="G28" s="6">
        <v>421220</v>
      </c>
      <c r="H28" s="6">
        <v>568638</v>
      </c>
      <c r="I28" s="6">
        <v>207616</v>
      </c>
      <c r="J28" s="6">
        <v>30459.092219233113</v>
      </c>
      <c r="K28" s="6">
        <v>22246</v>
      </c>
      <c r="L28" s="6">
        <v>21182</v>
      </c>
      <c r="M28" s="6">
        <v>23365</v>
      </c>
      <c r="N28" s="6">
        <v>27322</v>
      </c>
      <c r="O28" s="6">
        <v>27748</v>
      </c>
      <c r="P28" s="6">
        <v>25546</v>
      </c>
      <c r="Q28" s="6">
        <v>23859</v>
      </c>
      <c r="R28" s="73">
        <v>21168.6</v>
      </c>
      <c r="S28" s="8">
        <f t="shared" si="5"/>
        <v>-0.95101351120138955</v>
      </c>
      <c r="T28" s="15">
        <v>3309</v>
      </c>
      <c r="U28" s="15">
        <v>2921.3</v>
      </c>
      <c r="V28" s="69" t="s">
        <v>179</v>
      </c>
      <c r="W28" t="s">
        <v>184</v>
      </c>
    </row>
    <row r="29" spans="1:23" ht="30" x14ac:dyDescent="0.25">
      <c r="A29" s="16" t="s">
        <v>85</v>
      </c>
      <c r="B29" s="6"/>
      <c r="C29" s="6"/>
      <c r="D29" s="6"/>
      <c r="E29" s="6">
        <f t="shared" si="4"/>
        <v>0</v>
      </c>
      <c r="F29" s="6"/>
      <c r="G29" s="6"/>
      <c r="H29" s="6"/>
      <c r="I29" s="6">
        <v>16199669</v>
      </c>
      <c r="J29" s="6">
        <v>62562187</v>
      </c>
      <c r="K29" s="6">
        <v>82065686</v>
      </c>
      <c r="L29" s="6">
        <v>92677461</v>
      </c>
      <c r="M29" s="6">
        <v>91438102</v>
      </c>
      <c r="N29" s="6">
        <v>92763130</v>
      </c>
      <c r="O29" s="6">
        <v>93094171</v>
      </c>
      <c r="P29" s="6">
        <v>99622505</v>
      </c>
      <c r="Q29" s="6">
        <v>91833928</v>
      </c>
      <c r="R29" s="73"/>
      <c r="S29" s="8">
        <f t="shared" si="5"/>
        <v>0</v>
      </c>
      <c r="T29" s="69"/>
      <c r="U29" s="69"/>
      <c r="V29" s="69"/>
    </row>
    <row r="30" spans="1:23" ht="30" x14ac:dyDescent="0.25">
      <c r="A30" s="16" t="s">
        <v>86</v>
      </c>
      <c r="B30" s="6"/>
      <c r="C30" s="6"/>
      <c r="D30" s="6"/>
      <c r="E30" s="6">
        <f t="shared" si="4"/>
        <v>0</v>
      </c>
      <c r="F30" s="6"/>
      <c r="G30" s="6"/>
      <c r="H30" s="6"/>
      <c r="I30" s="6"/>
      <c r="J30" s="6"/>
      <c r="K30" s="6"/>
      <c r="L30" s="6">
        <v>9906</v>
      </c>
      <c r="M30" s="6">
        <v>23391</v>
      </c>
      <c r="N30" s="6">
        <v>15690.56</v>
      </c>
      <c r="O30" s="6">
        <v>12720</v>
      </c>
      <c r="P30" s="6">
        <v>12455</v>
      </c>
      <c r="Q30" s="6">
        <v>160321</v>
      </c>
      <c r="R30" s="73"/>
      <c r="S30" s="8">
        <f t="shared" si="5"/>
        <v>0</v>
      </c>
      <c r="T30" s="69"/>
      <c r="U30" s="69"/>
      <c r="V30" s="69"/>
    </row>
    <row r="31" spans="1:23" x14ac:dyDescent="0.25">
      <c r="A31" s="11" t="s">
        <v>77</v>
      </c>
      <c r="B31" s="6"/>
      <c r="C31" s="6"/>
      <c r="D31" s="6">
        <v>200</v>
      </c>
      <c r="E31" s="6">
        <f t="shared" si="4"/>
        <v>200</v>
      </c>
      <c r="F31" s="6">
        <v>2597</v>
      </c>
      <c r="G31" s="6">
        <v>5502</v>
      </c>
      <c r="H31" s="6">
        <v>5618</v>
      </c>
      <c r="I31" s="6">
        <v>3193</v>
      </c>
      <c r="J31" s="6"/>
      <c r="K31" s="6"/>
      <c r="L31" s="6"/>
      <c r="M31" s="6"/>
      <c r="N31" s="6"/>
      <c r="O31" s="6"/>
      <c r="P31" s="6"/>
      <c r="Q31" s="6"/>
      <c r="R31" s="73"/>
      <c r="S31" s="8">
        <f t="shared" si="5"/>
        <v>-1</v>
      </c>
      <c r="T31" s="69"/>
      <c r="U31" s="69"/>
      <c r="V31" s="69"/>
    </row>
    <row r="32" spans="1:23" x14ac:dyDescent="0.25">
      <c r="A32" s="11" t="s">
        <v>78</v>
      </c>
      <c r="B32" s="6">
        <v>51998</v>
      </c>
      <c r="C32" s="6">
        <v>39864</v>
      </c>
      <c r="D32" s="6">
        <v>60854</v>
      </c>
      <c r="E32" s="6">
        <f t="shared" si="4"/>
        <v>50905.333333333336</v>
      </c>
      <c r="F32" s="6">
        <v>67096</v>
      </c>
      <c r="G32" s="6">
        <v>56927</v>
      </c>
      <c r="H32" s="6">
        <v>49264</v>
      </c>
      <c r="I32" s="6">
        <v>36513</v>
      </c>
      <c r="J32" s="6">
        <v>53807</v>
      </c>
      <c r="K32" s="6">
        <v>40123</v>
      </c>
      <c r="L32" s="6">
        <v>41092</v>
      </c>
      <c r="M32" s="6">
        <v>28954</v>
      </c>
      <c r="N32" s="6">
        <v>31241.02</v>
      </c>
      <c r="O32" s="6">
        <v>40827</v>
      </c>
      <c r="P32" s="6">
        <v>46813</v>
      </c>
      <c r="Q32" s="6">
        <v>31092</v>
      </c>
      <c r="R32" s="73">
        <v>35666.480000000003</v>
      </c>
      <c r="S32" s="8">
        <f t="shared" si="5"/>
        <v>-0.38921920427460127</v>
      </c>
      <c r="T32" s="15">
        <v>2840</v>
      </c>
      <c r="U32" s="15">
        <v>3245.6</v>
      </c>
      <c r="V32" s="69" t="s">
        <v>179</v>
      </c>
      <c r="W32" t="s">
        <v>185</v>
      </c>
    </row>
    <row r="33" spans="1:23" x14ac:dyDescent="0.25">
      <c r="A33" s="11" t="s">
        <v>79</v>
      </c>
      <c r="B33" s="6"/>
      <c r="C33" s="6"/>
      <c r="D33" s="6"/>
      <c r="E33" s="6">
        <f t="shared" si="4"/>
        <v>0</v>
      </c>
      <c r="F33" s="6"/>
      <c r="G33" s="6"/>
      <c r="H33" s="6"/>
      <c r="I33" s="6"/>
      <c r="J33" s="6">
        <v>3137393.2077807668</v>
      </c>
      <c r="K33" s="6">
        <v>2585006</v>
      </c>
      <c r="L33" s="6">
        <v>3095615</v>
      </c>
      <c r="M33" s="6">
        <v>1199292</v>
      </c>
      <c r="N33" s="6">
        <v>564295</v>
      </c>
      <c r="O33" s="6">
        <v>1327560</v>
      </c>
      <c r="P33" s="6">
        <v>1202453</v>
      </c>
      <c r="Q33" s="6">
        <v>737509</v>
      </c>
      <c r="R33" s="73">
        <v>168494</v>
      </c>
      <c r="S33" s="8">
        <f t="shared" si="5"/>
        <v>0</v>
      </c>
      <c r="T33" s="15">
        <v>72623</v>
      </c>
      <c r="U33" s="15">
        <v>23252</v>
      </c>
      <c r="V33" s="69" t="s">
        <v>179</v>
      </c>
      <c r="W33" t="s">
        <v>184</v>
      </c>
    </row>
    <row r="35" spans="1:23" x14ac:dyDescent="0.25">
      <c r="A35" s="15" t="s">
        <v>83</v>
      </c>
      <c r="B35" s="7">
        <f>B25+B29+B30</f>
        <v>108753797</v>
      </c>
      <c r="C35" s="7">
        <f t="shared" ref="C35:Q35" si="6">C25+C29+C30</f>
        <v>112219171</v>
      </c>
      <c r="D35" s="7">
        <f t="shared" si="6"/>
        <v>113452075</v>
      </c>
      <c r="E35" s="7">
        <f t="shared" si="6"/>
        <v>111475014.33333333</v>
      </c>
      <c r="F35" s="7">
        <f t="shared" si="6"/>
        <v>111854228</v>
      </c>
      <c r="G35" s="7">
        <f t="shared" si="6"/>
        <v>114836355</v>
      </c>
      <c r="H35" s="7">
        <f t="shared" si="6"/>
        <v>109318514</v>
      </c>
      <c r="I35" s="7">
        <f t="shared" si="6"/>
        <v>123576924</v>
      </c>
      <c r="J35" s="7">
        <f t="shared" si="6"/>
        <v>122026265</v>
      </c>
      <c r="K35" s="7">
        <f t="shared" si="6"/>
        <v>124655243</v>
      </c>
      <c r="L35" s="7">
        <f t="shared" si="6"/>
        <v>131358744</v>
      </c>
      <c r="M35" s="7">
        <f t="shared" si="6"/>
        <v>134988677</v>
      </c>
      <c r="N35" s="7">
        <f t="shared" si="6"/>
        <v>130967834.56</v>
      </c>
      <c r="O35" s="7">
        <f t="shared" si="6"/>
        <v>134082131</v>
      </c>
      <c r="P35" s="7">
        <f t="shared" si="6"/>
        <v>136126578</v>
      </c>
      <c r="Q35" s="7">
        <f t="shared" si="6"/>
        <v>140645794</v>
      </c>
      <c r="R35" s="114"/>
    </row>
    <row r="36" spans="1:23" x14ac:dyDescent="0.25">
      <c r="A36" s="15" t="s">
        <v>84</v>
      </c>
      <c r="B36" s="8">
        <f>B25/B35</f>
        <v>1</v>
      </c>
      <c r="C36" s="8">
        <f t="shared" ref="C36:Q36" si="7">C25/C35</f>
        <v>1</v>
      </c>
      <c r="D36" s="8">
        <f t="shared" si="7"/>
        <v>1</v>
      </c>
      <c r="E36" s="8">
        <f t="shared" si="7"/>
        <v>1</v>
      </c>
      <c r="F36" s="8">
        <f t="shared" si="7"/>
        <v>1</v>
      </c>
      <c r="G36" s="8">
        <f t="shared" si="7"/>
        <v>1</v>
      </c>
      <c r="H36" s="8">
        <f t="shared" si="7"/>
        <v>1</v>
      </c>
      <c r="I36" s="8">
        <f t="shared" si="7"/>
        <v>0.86891024249802495</v>
      </c>
      <c r="J36" s="8">
        <f t="shared" si="7"/>
        <v>0.48730556491260302</v>
      </c>
      <c r="K36" s="8">
        <f t="shared" si="7"/>
        <v>0.34165877002060796</v>
      </c>
      <c r="L36" s="8">
        <f t="shared" si="7"/>
        <v>0.29439514890611318</v>
      </c>
      <c r="M36" s="8">
        <f t="shared" si="7"/>
        <v>0.3224506304332474</v>
      </c>
      <c r="N36" s="8">
        <f t="shared" si="7"/>
        <v>0.29159078737386129</v>
      </c>
      <c r="O36" s="8">
        <f t="shared" si="7"/>
        <v>0.30559806660590738</v>
      </c>
      <c r="P36" s="8">
        <f t="shared" si="7"/>
        <v>0.26807122118356635</v>
      </c>
      <c r="Q36" s="8">
        <f t="shared" si="7"/>
        <v>0.34591539225126061</v>
      </c>
      <c r="R36" s="113"/>
    </row>
    <row r="37" spans="1:23" x14ac:dyDescent="0.25">
      <c r="A37" s="15" t="s">
        <v>87</v>
      </c>
      <c r="B37" s="8">
        <f>(B29+B30)/B35</f>
        <v>0</v>
      </c>
      <c r="C37" s="8">
        <f t="shared" ref="C37:Q37" si="8">(C29+C30)/C35</f>
        <v>0</v>
      </c>
      <c r="D37" s="8">
        <f t="shared" si="8"/>
        <v>0</v>
      </c>
      <c r="E37" s="8">
        <f t="shared" si="8"/>
        <v>0</v>
      </c>
      <c r="F37" s="8">
        <f t="shared" si="8"/>
        <v>0</v>
      </c>
      <c r="G37" s="8">
        <f t="shared" si="8"/>
        <v>0</v>
      </c>
      <c r="H37" s="8">
        <f t="shared" si="8"/>
        <v>0</v>
      </c>
      <c r="I37" s="8">
        <f t="shared" si="8"/>
        <v>0.13108975750197505</v>
      </c>
      <c r="J37" s="8">
        <f t="shared" si="8"/>
        <v>0.51269443508739698</v>
      </c>
      <c r="K37" s="8">
        <f t="shared" si="8"/>
        <v>0.65834122997939204</v>
      </c>
      <c r="L37" s="8">
        <f t="shared" si="8"/>
        <v>0.70560485109388682</v>
      </c>
      <c r="M37" s="8">
        <f t="shared" si="8"/>
        <v>0.6775493695667526</v>
      </c>
      <c r="N37" s="8">
        <f t="shared" si="8"/>
        <v>0.70840921262613876</v>
      </c>
      <c r="O37" s="8">
        <f t="shared" si="8"/>
        <v>0.69440193339409262</v>
      </c>
      <c r="P37" s="8">
        <f t="shared" si="8"/>
        <v>0.73192877881643359</v>
      </c>
      <c r="Q37" s="8">
        <f t="shared" si="8"/>
        <v>0.65408460774873933</v>
      </c>
      <c r="R37" s="113"/>
    </row>
    <row r="40" spans="1:23" x14ac:dyDescent="0.25">
      <c r="I40" s="111"/>
    </row>
    <row r="42" spans="1:23" x14ac:dyDescent="0.25">
      <c r="N42">
        <f>(Q29+Q30)/Q35</f>
        <v>0.65408460774873933</v>
      </c>
    </row>
    <row r="70" spans="1:18" x14ac:dyDescent="0.25">
      <c r="A70" s="12" t="s">
        <v>80</v>
      </c>
      <c r="B70" s="13" t="s">
        <v>53</v>
      </c>
      <c r="C70" s="13" t="s">
        <v>54</v>
      </c>
      <c r="D70" s="13" t="s">
        <v>55</v>
      </c>
      <c r="E70" s="13" t="s">
        <v>65</v>
      </c>
      <c r="F70" s="13" t="s">
        <v>56</v>
      </c>
      <c r="G70" s="13" t="s">
        <v>57</v>
      </c>
      <c r="H70" s="13" t="s">
        <v>58</v>
      </c>
      <c r="I70" s="13" t="s">
        <v>59</v>
      </c>
      <c r="J70" s="13" t="s">
        <v>60</v>
      </c>
      <c r="K70" s="13" t="s">
        <v>61</v>
      </c>
      <c r="L70" s="13" t="s">
        <v>62</v>
      </c>
      <c r="M70" s="13" t="s">
        <v>63</v>
      </c>
      <c r="N70" s="13" t="s">
        <v>64</v>
      </c>
      <c r="O70" s="13" t="s">
        <v>167</v>
      </c>
      <c r="P70" s="13" t="s">
        <v>168</v>
      </c>
      <c r="Q70" s="13" t="s">
        <v>169</v>
      </c>
      <c r="R70" s="115"/>
    </row>
    <row r="71" spans="1:18" x14ac:dyDescent="0.25">
      <c r="A71" s="11" t="s">
        <v>76</v>
      </c>
      <c r="B71" s="73">
        <v>393229</v>
      </c>
      <c r="C71" s="73">
        <v>509210</v>
      </c>
      <c r="D71" s="73">
        <v>558719</v>
      </c>
      <c r="E71" s="73">
        <f t="shared" ref="E71" si="9">IFERROR(AVERAGE(B71:D71),0)</f>
        <v>487052.66666666669</v>
      </c>
      <c r="F71" s="73">
        <v>528097</v>
      </c>
      <c r="G71" s="73">
        <v>421220</v>
      </c>
      <c r="H71" s="73">
        <v>568638</v>
      </c>
      <c r="I71" s="73">
        <v>207616</v>
      </c>
      <c r="J71" s="73">
        <v>30459.092219233113</v>
      </c>
      <c r="K71" s="73">
        <v>22246</v>
      </c>
      <c r="L71" s="73">
        <v>21182</v>
      </c>
      <c r="M71" s="73">
        <v>23365</v>
      </c>
      <c r="N71" s="73">
        <v>27322</v>
      </c>
      <c r="O71" s="73">
        <v>27748</v>
      </c>
      <c r="P71" s="73">
        <v>25546</v>
      </c>
      <c r="Q71" s="73">
        <v>23859</v>
      </c>
      <c r="R71" s="116"/>
    </row>
    <row r="72" spans="1:18" x14ac:dyDescent="0.25">
      <c r="A72" s="69" t="s">
        <v>177</v>
      </c>
      <c r="B72" s="69"/>
      <c r="C72" s="69"/>
      <c r="D72" s="69"/>
      <c r="E72" s="8">
        <v>0</v>
      </c>
      <c r="F72" s="8">
        <f>(F71-$E71)/$E71</f>
        <v>8.4270831764942558E-2</v>
      </c>
      <c r="G72" s="8">
        <f t="shared" ref="G72:Q72" si="10">(G71-$E71)/$E71</f>
        <v>-0.13516539621314058</v>
      </c>
      <c r="H72" s="8">
        <f t="shared" si="10"/>
        <v>0.16750823661780584</v>
      </c>
      <c r="I72" s="8">
        <f t="shared" si="10"/>
        <v>-0.57372987726173352</v>
      </c>
      <c r="J72" s="8">
        <f t="shared" si="10"/>
        <v>-0.93746242592676543</v>
      </c>
      <c r="K72" s="8">
        <f t="shared" si="10"/>
        <v>-0.95432526804082785</v>
      </c>
      <c r="L72" s="8">
        <f t="shared" si="10"/>
        <v>-0.95650983671854795</v>
      </c>
      <c r="M72" s="8">
        <f t="shared" si="10"/>
        <v>-0.952027775230331</v>
      </c>
      <c r="N72" s="8">
        <f t="shared" si="10"/>
        <v>-0.9439033971685471</v>
      </c>
      <c r="O72" s="8">
        <f t="shared" si="10"/>
        <v>-0.9430287484310389</v>
      </c>
      <c r="P72" s="8">
        <f t="shared" si="10"/>
        <v>-0.94754982007421507</v>
      </c>
      <c r="Q72" s="8">
        <f t="shared" si="10"/>
        <v>-0.95101351120138955</v>
      </c>
      <c r="R72" s="113"/>
    </row>
    <row r="94" spans="1:18" x14ac:dyDescent="0.25">
      <c r="A94" s="12" t="s">
        <v>80</v>
      </c>
      <c r="B94" s="13" t="s">
        <v>53</v>
      </c>
      <c r="C94" s="13" t="s">
        <v>54</v>
      </c>
      <c r="D94" s="13" t="s">
        <v>55</v>
      </c>
      <c r="E94" s="13" t="s">
        <v>65</v>
      </c>
      <c r="F94" s="13" t="s">
        <v>56</v>
      </c>
      <c r="G94" s="13" t="s">
        <v>57</v>
      </c>
      <c r="H94" s="13" t="s">
        <v>58</v>
      </c>
      <c r="I94" s="13" t="s">
        <v>59</v>
      </c>
      <c r="J94" s="13" t="s">
        <v>60</v>
      </c>
      <c r="K94" s="13" t="s">
        <v>61</v>
      </c>
      <c r="L94" s="13" t="s">
        <v>62</v>
      </c>
      <c r="M94" s="13" t="s">
        <v>63</v>
      </c>
      <c r="N94" s="13" t="s">
        <v>64</v>
      </c>
      <c r="O94" s="13" t="s">
        <v>167</v>
      </c>
      <c r="P94" s="13" t="s">
        <v>168</v>
      </c>
      <c r="Q94" s="13" t="s">
        <v>169</v>
      </c>
      <c r="R94" s="115"/>
    </row>
    <row r="95" spans="1:18" x14ac:dyDescent="0.25">
      <c r="A95" s="11" t="s">
        <v>73</v>
      </c>
      <c r="B95" s="73">
        <v>108753797</v>
      </c>
      <c r="C95" s="73">
        <v>112219171</v>
      </c>
      <c r="D95" s="73">
        <v>113452075</v>
      </c>
      <c r="E95" s="73">
        <v>111475014.33333333</v>
      </c>
      <c r="F95" s="73">
        <v>111854228</v>
      </c>
      <c r="G95" s="73">
        <v>114836355</v>
      </c>
      <c r="H95" s="73">
        <v>109318514</v>
      </c>
      <c r="I95" s="73">
        <v>107377255</v>
      </c>
      <c r="J95" s="73">
        <v>59464078</v>
      </c>
      <c r="K95" s="73">
        <v>42589557</v>
      </c>
      <c r="L95" s="73">
        <v>38671377</v>
      </c>
      <c r="M95" s="73">
        <v>43527184</v>
      </c>
      <c r="N95" s="73">
        <v>38189014</v>
      </c>
      <c r="O95" s="73">
        <v>40975240</v>
      </c>
      <c r="P95" s="73">
        <v>36491618</v>
      </c>
      <c r="Q95" s="73">
        <v>48651545</v>
      </c>
      <c r="R95" s="116"/>
    </row>
    <row r="96" spans="1:18" x14ac:dyDescent="0.25">
      <c r="A96" s="69" t="s">
        <v>178</v>
      </c>
      <c r="B96" s="69"/>
      <c r="C96" s="69"/>
      <c r="D96" s="69"/>
      <c r="E96" s="8">
        <f>(E95-$E95)/$E95</f>
        <v>0</v>
      </c>
      <c r="F96" s="8">
        <f t="shared" ref="F96:Q96" si="11">(F95-$E95)/$E95</f>
        <v>3.4017817260174948E-3</v>
      </c>
      <c r="G96" s="8">
        <f t="shared" si="11"/>
        <v>3.0153310019907856E-2</v>
      </c>
      <c r="H96" s="8">
        <f t="shared" si="11"/>
        <v>-1.9345145154096566E-2</v>
      </c>
      <c r="I96" s="8">
        <f t="shared" si="11"/>
        <v>-3.675944208520289E-2</v>
      </c>
      <c r="J96" s="8">
        <f t="shared" si="11"/>
        <v>-0.46657034891971289</v>
      </c>
      <c r="K96" s="8">
        <f t="shared" si="11"/>
        <v>-0.61794526554041584</v>
      </c>
      <c r="L96" s="8">
        <f t="shared" si="11"/>
        <v>-0.65309376965528265</v>
      </c>
      <c r="M96" s="8">
        <f t="shared" si="11"/>
        <v>-0.60953416996346177</v>
      </c>
      <c r="N96" s="8">
        <f t="shared" si="11"/>
        <v>-0.65742086486029094</v>
      </c>
      <c r="O96" s="8">
        <f t="shared" si="11"/>
        <v>-0.63242669000718343</v>
      </c>
      <c r="P96" s="8">
        <f t="shared" si="11"/>
        <v>-0.6726475594711967</v>
      </c>
      <c r="Q96" s="8">
        <f t="shared" si="11"/>
        <v>-0.56356547437148719</v>
      </c>
      <c r="R96" s="113"/>
    </row>
    <row r="99" spans="1:14" x14ac:dyDescent="0.25">
      <c r="K99" s="111">
        <f>E95-Q95</f>
        <v>62823469.333333328</v>
      </c>
    </row>
    <row r="110" spans="1:14" x14ac:dyDescent="0.25">
      <c r="A110" s="12" t="s">
        <v>80</v>
      </c>
      <c r="B110" s="13" t="s">
        <v>65</v>
      </c>
      <c r="C110" s="13" t="s">
        <v>56</v>
      </c>
      <c r="D110" s="13" t="s">
        <v>57</v>
      </c>
      <c r="E110" s="13" t="s">
        <v>58</v>
      </c>
      <c r="F110" s="13" t="s">
        <v>59</v>
      </c>
      <c r="G110" s="13" t="s">
        <v>60</v>
      </c>
      <c r="H110" s="13" t="s">
        <v>61</v>
      </c>
      <c r="I110" s="13" t="s">
        <v>62</v>
      </c>
      <c r="J110" s="13" t="s">
        <v>63</v>
      </c>
      <c r="K110" s="13" t="s">
        <v>64</v>
      </c>
      <c r="L110" s="13" t="s">
        <v>167</v>
      </c>
      <c r="M110" s="13" t="s">
        <v>168</v>
      </c>
      <c r="N110" s="13" t="s">
        <v>169</v>
      </c>
    </row>
    <row r="111" spans="1:14" x14ac:dyDescent="0.25">
      <c r="A111" s="11" t="s">
        <v>75</v>
      </c>
      <c r="B111" s="73">
        <v>5594974.333333333</v>
      </c>
      <c r="C111" s="73">
        <v>4334886</v>
      </c>
      <c r="D111" s="73">
        <v>2904380</v>
      </c>
      <c r="E111" s="73">
        <v>3543141</v>
      </c>
      <c r="F111" s="73">
        <v>7561623</v>
      </c>
      <c r="G111" s="73">
        <v>12520923</v>
      </c>
      <c r="H111" s="73">
        <v>13357108</v>
      </c>
      <c r="I111" s="73">
        <v>14284953</v>
      </c>
      <c r="J111" s="73">
        <v>15152031</v>
      </c>
      <c r="K111" s="73">
        <v>17118309</v>
      </c>
      <c r="L111" s="73">
        <v>16500046</v>
      </c>
      <c r="M111" s="73">
        <v>16804975</v>
      </c>
      <c r="N111" s="73">
        <v>16227910</v>
      </c>
    </row>
    <row r="112" spans="1:14" x14ac:dyDescent="0.25">
      <c r="A112" s="69" t="s">
        <v>66</v>
      </c>
      <c r="B112" s="8">
        <f>(B111-$B111)/$B111</f>
        <v>0</v>
      </c>
      <c r="C112" s="8">
        <f t="shared" ref="C112:N112" si="12">(C111-$B111)/$B111</f>
        <v>-0.22521789346307988</v>
      </c>
      <c r="D112" s="8">
        <f t="shared" si="12"/>
        <v>-0.48089484831118973</v>
      </c>
      <c r="E112" s="8">
        <f t="shared" si="12"/>
        <v>-0.3667279260083588</v>
      </c>
      <c r="F112" s="8">
        <f t="shared" si="12"/>
        <v>0.35150271466839622</v>
      </c>
      <c r="G112" s="8">
        <f t="shared" si="12"/>
        <v>1.2378874779467264</v>
      </c>
      <c r="H112" s="8">
        <f t="shared" si="12"/>
        <v>1.3873403530060877</v>
      </c>
      <c r="I112" s="8">
        <f t="shared" si="12"/>
        <v>1.5531757875803187</v>
      </c>
      <c r="J112" s="8">
        <f t="shared" si="12"/>
        <v>1.7081502250561416</v>
      </c>
      <c r="K112" s="8">
        <f t="shared" si="12"/>
        <v>2.0595866897929769</v>
      </c>
      <c r="L112" s="8">
        <f t="shared" si="12"/>
        <v>1.9490834125363581</v>
      </c>
      <c r="M112" s="8">
        <f t="shared" si="12"/>
        <v>2.003583930650144</v>
      </c>
      <c r="N112" s="8">
        <f t="shared" si="12"/>
        <v>1.9004440473155584</v>
      </c>
    </row>
    <row r="114" spans="6:6" x14ac:dyDescent="0.25">
      <c r="F114" s="111">
        <f>N111-B111</f>
        <v>10632935.666666668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B1" zoomScale="90" zoomScaleNormal="90" workbookViewId="0">
      <selection activeCell="Q28" sqref="Q28"/>
    </sheetView>
  </sheetViews>
  <sheetFormatPr defaultRowHeight="15" x14ac:dyDescent="0.25"/>
  <cols>
    <col min="1" max="1" width="30.42578125" bestFit="1" customWidth="1"/>
    <col min="2" max="2" width="17.5703125" bestFit="1" customWidth="1"/>
    <col min="3" max="14" width="16.85546875" bestFit="1" customWidth="1"/>
    <col min="15" max="15" width="13.85546875" customWidth="1"/>
    <col min="16" max="16" width="13.5703125" customWidth="1"/>
    <col min="17" max="17" width="13.42578125" customWidth="1"/>
  </cols>
  <sheetData>
    <row r="1" spans="1:18" x14ac:dyDescent="0.25">
      <c r="A1" s="1" t="s">
        <v>141</v>
      </c>
      <c r="B1" s="1" t="s">
        <v>144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167</v>
      </c>
      <c r="P1" s="1" t="s">
        <v>168</v>
      </c>
      <c r="Q1" s="1" t="s">
        <v>169</v>
      </c>
    </row>
    <row r="2" spans="1:18" x14ac:dyDescent="0.25">
      <c r="A2" s="2" t="s">
        <v>38</v>
      </c>
      <c r="B2" s="2" t="s">
        <v>25</v>
      </c>
      <c r="C2" s="6"/>
      <c r="D2" s="6"/>
      <c r="E2" s="6"/>
      <c r="F2" s="6"/>
      <c r="G2" s="6">
        <v>985416.18499999994</v>
      </c>
      <c r="H2" s="6">
        <v>1066949.3899999999</v>
      </c>
      <c r="I2" s="6">
        <v>1056996.98</v>
      </c>
      <c r="J2" s="6">
        <v>1102548.395</v>
      </c>
      <c r="K2" s="6">
        <v>893165</v>
      </c>
      <c r="L2" s="6">
        <v>1050336.5209999999</v>
      </c>
      <c r="M2" s="6">
        <v>1161063.4620000001</v>
      </c>
      <c r="N2" s="6">
        <v>746564.72475000005</v>
      </c>
      <c r="O2" s="101">
        <v>343103.59523809527</v>
      </c>
      <c r="P2" s="101">
        <v>378319.88095238095</v>
      </c>
      <c r="Q2" s="101">
        <v>339530.92857142858</v>
      </c>
    </row>
    <row r="3" spans="1:18" x14ac:dyDescent="0.25">
      <c r="A3" s="2" t="s">
        <v>17</v>
      </c>
      <c r="B3" s="2" t="s">
        <v>21</v>
      </c>
      <c r="C3" s="6">
        <v>551147184</v>
      </c>
      <c r="D3" s="6">
        <v>821208496.5</v>
      </c>
      <c r="E3" s="6">
        <v>856341706.5</v>
      </c>
      <c r="F3" s="6">
        <v>832354204.5</v>
      </c>
      <c r="G3" s="6">
        <v>629530587</v>
      </c>
      <c r="H3" s="6">
        <v>642715636.5</v>
      </c>
      <c r="I3" s="6">
        <v>365223852</v>
      </c>
      <c r="J3" s="6">
        <v>18757903.5</v>
      </c>
      <c r="K3" s="6"/>
      <c r="L3" s="6"/>
      <c r="M3" s="6"/>
      <c r="N3" s="6"/>
      <c r="O3" s="69"/>
      <c r="P3" s="69"/>
      <c r="Q3" s="69"/>
    </row>
    <row r="4" spans="1:18" x14ac:dyDescent="0.25">
      <c r="A4" s="2" t="s">
        <v>23</v>
      </c>
      <c r="B4" s="2" t="s">
        <v>25</v>
      </c>
      <c r="C4" s="6">
        <v>8700885.7148832008</v>
      </c>
      <c r="D4" s="6">
        <v>5104364.2860647999</v>
      </c>
      <c r="E4" s="6">
        <v>5762450.5956338001</v>
      </c>
      <c r="F4" s="6">
        <v>6466027.3813964007</v>
      </c>
      <c r="G4" s="6">
        <v>5355532.7384630004</v>
      </c>
      <c r="H4" s="6">
        <v>5798648.8099220004</v>
      </c>
      <c r="I4" s="6">
        <v>5744559.5242039999</v>
      </c>
      <c r="J4" s="6">
        <v>5992122.0242210003</v>
      </c>
      <c r="K4" s="6">
        <v>4854166.6670000004</v>
      </c>
      <c r="L4" s="6">
        <v>5708361.3099157996</v>
      </c>
      <c r="M4" s="6">
        <v>6310139.2861476</v>
      </c>
      <c r="N4" s="6">
        <v>4598414.4943633899</v>
      </c>
      <c r="O4" s="102">
        <v>7085557.7380952304</v>
      </c>
      <c r="P4" s="102">
        <v>7813405.357142847</v>
      </c>
      <c r="Q4" s="102">
        <v>7011913.0952380858</v>
      </c>
    </row>
    <row r="5" spans="1:18" x14ac:dyDescent="0.25">
      <c r="A5" s="2" t="s">
        <v>27</v>
      </c>
      <c r="B5" s="2" t="s">
        <v>25</v>
      </c>
      <c r="C5" s="6">
        <v>19167631.033999998</v>
      </c>
      <c r="D5" s="6">
        <v>19470552.995999999</v>
      </c>
      <c r="E5" s="6">
        <v>20190086.458999999</v>
      </c>
      <c r="F5" s="6">
        <v>20370063.627999999</v>
      </c>
      <c r="G5" s="6">
        <v>19146994.318999998</v>
      </c>
      <c r="H5" s="6">
        <v>19726948.546</v>
      </c>
      <c r="I5" s="6">
        <v>20059887.548</v>
      </c>
      <c r="J5" s="6">
        <v>20370438.840999998</v>
      </c>
      <c r="K5" s="6">
        <v>19480183.463</v>
      </c>
      <c r="L5" s="6">
        <v>19740081.000999998</v>
      </c>
      <c r="M5" s="6">
        <v>18781286.715</v>
      </c>
      <c r="N5" s="6">
        <v>21270449.756999999</v>
      </c>
      <c r="O5" s="103">
        <v>19537157.714285716</v>
      </c>
      <c r="P5" s="103">
        <v>19339294.714285716</v>
      </c>
      <c r="Q5" s="103">
        <v>17948125.214285716</v>
      </c>
    </row>
    <row r="6" spans="1:18" x14ac:dyDescent="0.25">
      <c r="A6" s="2" t="s">
        <v>28</v>
      </c>
      <c r="B6" s="2" t="s">
        <v>21</v>
      </c>
      <c r="C6" s="6">
        <v>376217887.46509957</v>
      </c>
      <c r="D6" s="6">
        <v>383695482.42056489</v>
      </c>
      <c r="E6" s="6">
        <v>389651816.7788192</v>
      </c>
      <c r="F6" s="6">
        <v>384449146.53899533</v>
      </c>
      <c r="G6" s="6">
        <v>389597655.61649621</v>
      </c>
      <c r="H6" s="6">
        <v>373350263.31689906</v>
      </c>
      <c r="I6" s="6">
        <v>367760682.33468574</v>
      </c>
      <c r="J6" s="6">
        <v>205659824.58346006</v>
      </c>
      <c r="K6" s="6">
        <v>146168304.53700095</v>
      </c>
      <c r="L6" s="6">
        <v>130327847.83207686</v>
      </c>
      <c r="M6" s="6">
        <v>147139292.79359999</v>
      </c>
      <c r="N6" s="6">
        <v>128592618.19927938</v>
      </c>
      <c r="O6" s="104">
        <v>139718153.27844316</v>
      </c>
      <c r="P6" s="104">
        <v>124712907.80868588</v>
      </c>
      <c r="Q6" s="104">
        <v>165094589.41942948</v>
      </c>
    </row>
    <row r="7" spans="1:18" x14ac:dyDescent="0.25">
      <c r="A7" s="2" t="s">
        <v>31</v>
      </c>
      <c r="B7" s="2" t="s">
        <v>21</v>
      </c>
      <c r="C7" s="6">
        <v>866564157.35797405</v>
      </c>
      <c r="D7" s="6">
        <v>503604708.98299378</v>
      </c>
      <c r="E7" s="6">
        <v>475810909.66492677</v>
      </c>
      <c r="F7" s="6">
        <v>419213597.76435041</v>
      </c>
      <c r="G7" s="6">
        <v>292752151.96320021</v>
      </c>
      <c r="H7" s="6">
        <v>353402094.5945946</v>
      </c>
      <c r="I7" s="6">
        <v>749688674.76087272</v>
      </c>
      <c r="J7" s="6">
        <v>1234562306.9475803</v>
      </c>
      <c r="K7" s="6">
        <v>1370713050.0493665</v>
      </c>
      <c r="L7" s="6">
        <v>1416462786.073349</v>
      </c>
      <c r="M7" s="6">
        <v>1651094737.6940324</v>
      </c>
      <c r="N7" s="6">
        <v>1826096586.0863214</v>
      </c>
      <c r="O7" s="105">
        <v>1779298142.2649493</v>
      </c>
      <c r="P7" s="105">
        <v>1873120711.9749188</v>
      </c>
      <c r="Q7" s="105">
        <v>1917996723.2465627</v>
      </c>
    </row>
    <row r="8" spans="1:18" x14ac:dyDescent="0.25">
      <c r="A8" s="2" t="s">
        <v>33</v>
      </c>
      <c r="B8" s="2" t="s">
        <v>21</v>
      </c>
      <c r="C8" s="6">
        <v>74705771.92590344</v>
      </c>
      <c r="D8" s="6">
        <v>73244614.481873631</v>
      </c>
      <c r="E8" s="6">
        <v>80365974.271318212</v>
      </c>
      <c r="F8" s="6">
        <v>68900608.944775984</v>
      </c>
      <c r="G8" s="6">
        <v>59257052.946522623</v>
      </c>
      <c r="H8" s="6">
        <v>78499278.82778433</v>
      </c>
      <c r="I8" s="6">
        <v>28089110.664190941</v>
      </c>
      <c r="J8" s="6">
        <v>4032333.0802100571</v>
      </c>
      <c r="K8" s="6">
        <v>3276826.781700097</v>
      </c>
      <c r="L8" s="6">
        <v>2901476.7218898335</v>
      </c>
      <c r="M8" s="6">
        <v>3998733.1349526681</v>
      </c>
      <c r="N8" s="6">
        <v>3669060.3385997722</v>
      </c>
      <c r="O8" s="106">
        <v>3597969.9191425322</v>
      </c>
      <c r="P8" s="106">
        <v>3286011.5715708556</v>
      </c>
      <c r="Q8" s="106">
        <v>3724410.9368327889</v>
      </c>
    </row>
    <row r="9" spans="1:18" x14ac:dyDescent="0.25">
      <c r="A9" s="2" t="s">
        <v>44</v>
      </c>
      <c r="B9" s="2" t="s">
        <v>21</v>
      </c>
      <c r="C9" s="6"/>
      <c r="D9" s="6"/>
      <c r="E9" s="6"/>
      <c r="F9" s="6"/>
      <c r="G9" s="6"/>
      <c r="H9" s="6"/>
      <c r="I9" s="6"/>
      <c r="J9" s="6"/>
      <c r="K9" s="6"/>
      <c r="L9" s="6">
        <v>33799.271999999997</v>
      </c>
      <c r="M9" s="6">
        <v>79810.092000000004</v>
      </c>
      <c r="N9" s="6">
        <v>53536.190719999999</v>
      </c>
      <c r="O9" s="107">
        <v>43400.639999999999</v>
      </c>
      <c r="P9" s="107">
        <v>42496.801200000002</v>
      </c>
      <c r="Q9" s="107">
        <v>547015.25199999998</v>
      </c>
    </row>
    <row r="10" spans="1:18" x14ac:dyDescent="0.25">
      <c r="A10" s="2" t="s">
        <v>37</v>
      </c>
      <c r="B10" s="2" t="s">
        <v>21</v>
      </c>
      <c r="C10" s="6"/>
      <c r="D10" s="6"/>
      <c r="E10" s="6">
        <v>3300000</v>
      </c>
      <c r="F10" s="6">
        <v>42850500</v>
      </c>
      <c r="G10" s="6">
        <v>90783000</v>
      </c>
      <c r="H10" s="6">
        <v>92697000</v>
      </c>
      <c r="I10" s="6">
        <v>52684500</v>
      </c>
      <c r="J10" s="6"/>
      <c r="K10" s="6"/>
      <c r="L10" s="6"/>
      <c r="M10" s="6"/>
      <c r="N10" s="6"/>
      <c r="O10" s="9"/>
      <c r="P10" s="9"/>
      <c r="Q10" s="9"/>
    </row>
    <row r="11" spans="1:18" x14ac:dyDescent="0.25">
      <c r="A11" s="2" t="s">
        <v>35</v>
      </c>
      <c r="B11" s="2" t="s">
        <v>21</v>
      </c>
      <c r="C11" s="6">
        <v>6505458.7466482697</v>
      </c>
      <c r="D11" s="6">
        <v>3776089.8237382607</v>
      </c>
      <c r="E11" s="6">
        <v>5764353.0537268734</v>
      </c>
      <c r="F11" s="6">
        <v>5764858.5894371364</v>
      </c>
      <c r="G11" s="6">
        <v>5273901.7057053363</v>
      </c>
      <c r="H11" s="6">
        <v>4478598.48220463</v>
      </c>
      <c r="I11" s="6">
        <v>3253174.4705749946</v>
      </c>
      <c r="J11" s="6">
        <v>4690950.9335613325</v>
      </c>
      <c r="K11" s="6">
        <v>3892042.8957496276</v>
      </c>
      <c r="L11" s="6">
        <v>3706739.5777913518</v>
      </c>
      <c r="M11" s="6">
        <v>3263231.4271017676</v>
      </c>
      <c r="N11" s="6">
        <v>2762805.0460025482</v>
      </c>
      <c r="O11" s="108">
        <v>3486238.5789666744</v>
      </c>
      <c r="P11" s="108">
        <v>3965502.364232318</v>
      </c>
      <c r="Q11" s="108">
        <v>3196274.6572188926</v>
      </c>
    </row>
    <row r="12" spans="1:18" x14ac:dyDescent="0.25">
      <c r="A12" s="2" t="s">
        <v>43</v>
      </c>
      <c r="B12" s="2" t="s">
        <v>21</v>
      </c>
      <c r="C12" s="6"/>
      <c r="D12" s="6"/>
      <c r="E12" s="6"/>
      <c r="F12" s="6"/>
      <c r="G12" s="6"/>
      <c r="H12" s="6"/>
      <c r="I12" s="6"/>
      <c r="J12" s="6">
        <v>429045387.34706354</v>
      </c>
      <c r="K12" s="6">
        <v>367904036.16824037</v>
      </c>
      <c r="L12" s="6">
        <v>425714202.99953502</v>
      </c>
      <c r="M12" s="6">
        <v>181234977.47239459</v>
      </c>
      <c r="N12" s="6">
        <v>76985226.245895252</v>
      </c>
      <c r="O12" s="109">
        <v>179200085.09343779</v>
      </c>
      <c r="P12" s="109">
        <v>161802624.95216364</v>
      </c>
      <c r="Q12" s="109">
        <v>107557338.2426929</v>
      </c>
    </row>
    <row r="13" spans="1:18" s="110" customFormat="1" x14ac:dyDescent="0.25">
      <c r="A13" s="93" t="s">
        <v>142</v>
      </c>
      <c r="B13" s="93" t="s">
        <v>145</v>
      </c>
      <c r="C13" s="92">
        <f t="shared" ref="C13:Q13" si="0">SUM(C2:C12)</f>
        <v>1903008976.2445087</v>
      </c>
      <c r="D13" s="92">
        <f t="shared" si="0"/>
        <v>1810104309.4912355</v>
      </c>
      <c r="E13" s="92">
        <f t="shared" si="0"/>
        <v>1837187297.3234248</v>
      </c>
      <c r="F13" s="92">
        <f t="shared" si="0"/>
        <v>1780369007.3469555</v>
      </c>
      <c r="G13" s="92">
        <f t="shared" si="0"/>
        <v>1492682292.4743874</v>
      </c>
      <c r="H13" s="92">
        <f t="shared" si="0"/>
        <v>1571735418.4674046</v>
      </c>
      <c r="I13" s="92">
        <f t="shared" si="0"/>
        <v>1593561438.2825284</v>
      </c>
      <c r="J13" s="92">
        <f t="shared" si="0"/>
        <v>1924213815.6520963</v>
      </c>
      <c r="K13" s="92">
        <f t="shared" si="0"/>
        <v>1917181775.5620575</v>
      </c>
      <c r="L13" s="92">
        <f t="shared" si="0"/>
        <v>2005645631.308558</v>
      </c>
      <c r="M13" s="92">
        <f t="shared" si="0"/>
        <v>2013063272.077229</v>
      </c>
      <c r="N13" s="92">
        <f t="shared" si="0"/>
        <v>2064775261.0829318</v>
      </c>
      <c r="O13" s="92">
        <f t="shared" si="0"/>
        <v>2132309808.8225584</v>
      </c>
      <c r="P13" s="92">
        <f t="shared" si="0"/>
        <v>2194461275.4251523</v>
      </c>
      <c r="Q13" s="92">
        <f t="shared" si="0"/>
        <v>2223415920.9928322</v>
      </c>
    </row>
    <row r="15" spans="1:18" x14ac:dyDescent="0.25">
      <c r="A15" s="4" t="s">
        <v>143</v>
      </c>
      <c r="B15" s="45" t="s">
        <v>21</v>
      </c>
      <c r="C15" s="3">
        <f ca="1">SUMIF($B$2:$N$13,$B$15,C$2:C$13)</f>
        <v>1875140459.4956255</v>
      </c>
      <c r="D15" s="3">
        <f t="shared" ref="D15:Q15" ca="1" si="1">SUMIF($B$2:$N$13,$B$15,D$2:D$13)</f>
        <v>1785529392.2091706</v>
      </c>
      <c r="E15" s="3">
        <f t="shared" ca="1" si="1"/>
        <v>1811234760.268791</v>
      </c>
      <c r="F15" s="3">
        <f t="shared" ca="1" si="1"/>
        <v>1753532916.337559</v>
      </c>
      <c r="G15" s="3">
        <f t="shared" ca="1" si="1"/>
        <v>1467194349.2319245</v>
      </c>
      <c r="H15" s="3">
        <f t="shared" ca="1" si="1"/>
        <v>1545142871.7214828</v>
      </c>
      <c r="I15" s="3">
        <f t="shared" ca="1" si="1"/>
        <v>1566699994.2303247</v>
      </c>
      <c r="J15" s="3">
        <f t="shared" ca="1" si="1"/>
        <v>1896748706.3918753</v>
      </c>
      <c r="K15" s="3">
        <f t="shared" ca="1" si="1"/>
        <v>1891954260.4320574</v>
      </c>
      <c r="L15" s="3">
        <f t="shared" ca="1" si="1"/>
        <v>1979146852.4766421</v>
      </c>
      <c r="M15" s="3">
        <f t="shared" ca="1" si="1"/>
        <v>1986810782.6140819</v>
      </c>
      <c r="N15" s="3">
        <f t="shared" ca="1" si="1"/>
        <v>2038159832.1068182</v>
      </c>
      <c r="O15" s="3">
        <f t="shared" ca="1" si="1"/>
        <v>2105343989.7749395</v>
      </c>
      <c r="P15" s="3">
        <f t="shared" ca="1" si="1"/>
        <v>2166930255.4727712</v>
      </c>
      <c r="Q15" s="3">
        <f t="shared" ca="1" si="1"/>
        <v>2198116351.7547369</v>
      </c>
      <c r="R15" s="47">
        <f ca="1">(N15-E15)/E15</f>
        <v>0.12528749823924046</v>
      </c>
    </row>
    <row r="16" spans="1:18" x14ac:dyDescent="0.25">
      <c r="A16" s="4" t="s">
        <v>146</v>
      </c>
      <c r="B16" s="4" t="s">
        <v>21</v>
      </c>
      <c r="C16" s="46">
        <v>9972960</v>
      </c>
      <c r="D16" s="46">
        <v>9972960</v>
      </c>
      <c r="E16" s="46">
        <v>10022960</v>
      </c>
      <c r="F16" s="46">
        <v>10022960</v>
      </c>
      <c r="G16" s="46">
        <v>10355328</v>
      </c>
      <c r="H16" s="46">
        <v>10371033</v>
      </c>
      <c r="I16" s="46">
        <v>10488336</v>
      </c>
      <c r="J16" s="46">
        <v>10677667</v>
      </c>
      <c r="K16" s="46">
        <v>10777084</v>
      </c>
      <c r="L16" s="46">
        <v>10831867</v>
      </c>
      <c r="M16" s="46">
        <v>11279169</v>
      </c>
      <c r="N16" s="46">
        <v>11639494</v>
      </c>
      <c r="O16" s="109">
        <v>12239033</v>
      </c>
      <c r="P16" s="109">
        <v>12514904</v>
      </c>
      <c r="Q16" s="109">
        <v>12805925</v>
      </c>
      <c r="R16" s="47">
        <f>(N16-E16)/E16</f>
        <v>0.16128309401613894</v>
      </c>
    </row>
    <row r="17" spans="1:17" x14ac:dyDescent="0.25">
      <c r="A17" s="4" t="s">
        <v>147</v>
      </c>
      <c r="B17" s="4" t="s">
        <v>21</v>
      </c>
      <c r="C17" s="44">
        <f ca="1">C15/C16</f>
        <v>188.02245867782739</v>
      </c>
      <c r="D17" s="44">
        <f t="shared" ref="D17:M17" ca="1" si="2">D15/D16</f>
        <v>179.0370554187694</v>
      </c>
      <c r="E17" s="44">
        <f t="shared" ca="1" si="2"/>
        <v>180.70856915210587</v>
      </c>
      <c r="F17" s="44">
        <f t="shared" ca="1" si="2"/>
        <v>174.9516027538331</v>
      </c>
      <c r="G17" s="44">
        <f t="shared" ca="1" si="2"/>
        <v>141.68497117927356</v>
      </c>
      <c r="H17" s="44">
        <f t="shared" ca="1" si="2"/>
        <v>148.98640007427252</v>
      </c>
      <c r="I17" s="44">
        <f t="shared" ca="1" si="2"/>
        <v>149.37545805457842</v>
      </c>
      <c r="J17" s="44">
        <f t="shared" ca="1" si="2"/>
        <v>177.63699751939026</v>
      </c>
      <c r="K17" s="44">
        <f t="shared" ca="1" si="2"/>
        <v>175.55344844969727</v>
      </c>
      <c r="L17" s="44">
        <f t="shared" ca="1" si="2"/>
        <v>182.7152098965619</v>
      </c>
      <c r="M17" s="44">
        <f t="shared" ca="1" si="2"/>
        <v>176.14868458962553</v>
      </c>
      <c r="N17" s="44">
        <f ca="1">N15/N16</f>
        <v>175.10725398430708</v>
      </c>
      <c r="O17" s="44">
        <f t="shared" ref="O17:Q17" ca="1" si="3">O15/O16</f>
        <v>172.01881797156193</v>
      </c>
      <c r="P17" s="44">
        <f t="shared" ca="1" si="3"/>
        <v>173.14797264707514</v>
      </c>
      <c r="Q17" s="44">
        <f t="shared" ca="1" si="3"/>
        <v>171.64838555237023</v>
      </c>
    </row>
    <row r="18" spans="1:17" x14ac:dyDescent="0.25">
      <c r="A18" s="61" t="s">
        <v>66</v>
      </c>
      <c r="B18" s="62" t="s">
        <v>21</v>
      </c>
      <c r="C18" s="63"/>
      <c r="D18" s="63"/>
      <c r="E18" s="63">
        <f ca="1">(E17-$E17)/$E17</f>
        <v>0</v>
      </c>
      <c r="F18" s="63">
        <f ca="1">(F17-$E17)/$E17</f>
        <v>-3.1857738818279378E-2</v>
      </c>
      <c r="G18" s="63">
        <f ca="1">(G17-$E17)/$E17</f>
        <v>-0.21594768945342815</v>
      </c>
      <c r="H18" s="63">
        <f t="shared" ref="H18:M18" ca="1" si="4">(H17-$E17)/$E17</f>
        <v>-0.17554324748779448</v>
      </c>
      <c r="I18" s="63">
        <f t="shared" ca="1" si="4"/>
        <v>-0.1733902893733488</v>
      </c>
      <c r="J18" s="63">
        <f t="shared" ca="1" si="4"/>
        <v>-1.6997376754890922E-2</v>
      </c>
      <c r="K18" s="63">
        <f t="shared" ca="1" si="4"/>
        <v>-2.8527262025241491E-2</v>
      </c>
      <c r="L18" s="63">
        <f t="shared" ca="1" si="4"/>
        <v>1.1104292142156288E-2</v>
      </c>
      <c r="M18" s="63">
        <f t="shared" ca="1" si="4"/>
        <v>-2.5233361007037759E-2</v>
      </c>
      <c r="N18" s="63">
        <f ca="1">(N17-$E17)/$E17</f>
        <v>-3.0996400414659106E-2</v>
      </c>
      <c r="O18" s="63">
        <f t="shared" ref="O18:Q18" ca="1" si="5">(O17-$E17)/$E17</f>
        <v>-4.8087100801675907E-2</v>
      </c>
      <c r="P18" s="63">
        <f t="shared" ca="1" si="5"/>
        <v>-4.1838616400458752E-2</v>
      </c>
      <c r="Q18" s="63">
        <f t="shared" ca="1" si="5"/>
        <v>-5.0136989309618775E-2</v>
      </c>
    </row>
    <row r="19" spans="1:17" x14ac:dyDescent="0.25">
      <c r="N19" s="60"/>
    </row>
    <row r="20" spans="1:17" x14ac:dyDescent="0.25">
      <c r="N20" s="60"/>
    </row>
    <row r="21" spans="1:17" x14ac:dyDescent="0.25">
      <c r="A21" s="1" t="s">
        <v>148</v>
      </c>
      <c r="B21" s="1" t="s">
        <v>144</v>
      </c>
      <c r="C21" s="1" t="s">
        <v>53</v>
      </c>
      <c r="D21" s="1" t="s">
        <v>54</v>
      </c>
      <c r="E21" s="1" t="s">
        <v>55</v>
      </c>
      <c r="F21" s="1" t="s">
        <v>56</v>
      </c>
      <c r="G21" s="1" t="s">
        <v>57</v>
      </c>
      <c r="H21" s="1" t="s">
        <v>58</v>
      </c>
      <c r="I21" s="1" t="s">
        <v>59</v>
      </c>
      <c r="J21" s="1" t="s">
        <v>60</v>
      </c>
      <c r="K21" s="1" t="s">
        <v>61</v>
      </c>
      <c r="L21" s="1" t="s">
        <v>62</v>
      </c>
      <c r="M21" s="1" t="s">
        <v>63</v>
      </c>
      <c r="N21" s="1" t="s">
        <v>64</v>
      </c>
      <c r="O21" s="1" t="s">
        <v>167</v>
      </c>
      <c r="P21" s="1" t="s">
        <v>168</v>
      </c>
      <c r="Q21" s="1" t="s">
        <v>169</v>
      </c>
    </row>
    <row r="22" spans="1:17" x14ac:dyDescent="0.25">
      <c r="A22" s="2" t="s">
        <v>38</v>
      </c>
      <c r="B22" s="2" t="s">
        <v>25</v>
      </c>
      <c r="C22" s="6"/>
      <c r="D22" s="6"/>
      <c r="E22" s="6"/>
      <c r="F22" s="6"/>
      <c r="G22" s="6">
        <v>985416.18499999994</v>
      </c>
      <c r="H22" s="6">
        <v>1066949.3899999999</v>
      </c>
      <c r="I22" s="6">
        <v>1056996.98</v>
      </c>
      <c r="J22" s="6">
        <v>1102548.395</v>
      </c>
      <c r="K22" s="6">
        <v>893165</v>
      </c>
      <c r="L22" s="6">
        <v>1050336.5209999999</v>
      </c>
      <c r="M22" s="6">
        <v>1161063.4620000001</v>
      </c>
      <c r="N22" s="6">
        <v>746564.72475000005</v>
      </c>
      <c r="O22" s="94">
        <v>343103.59523809527</v>
      </c>
      <c r="P22" s="94">
        <v>378319.88095238095</v>
      </c>
      <c r="Q22" s="94">
        <v>339530.92857142858</v>
      </c>
    </row>
    <row r="23" spans="1:17" x14ac:dyDescent="0.25">
      <c r="A23" s="2" t="s">
        <v>17</v>
      </c>
      <c r="B23" s="2" t="s">
        <v>21</v>
      </c>
      <c r="C23" s="6">
        <v>551147184</v>
      </c>
      <c r="D23" s="6">
        <v>821208496.5</v>
      </c>
      <c r="E23" s="6">
        <v>856341706.5</v>
      </c>
      <c r="F23" s="6">
        <v>832354204.5</v>
      </c>
      <c r="G23" s="6">
        <v>629530587</v>
      </c>
      <c r="H23" s="6">
        <v>642715636.5</v>
      </c>
      <c r="I23" s="6">
        <v>365223852</v>
      </c>
      <c r="J23" s="6">
        <v>18757903.5</v>
      </c>
      <c r="K23" s="6"/>
      <c r="L23" s="6"/>
      <c r="M23" s="6"/>
      <c r="N23" s="6"/>
      <c r="O23" s="9"/>
      <c r="P23" s="9"/>
      <c r="Q23" s="9"/>
    </row>
    <row r="24" spans="1:17" x14ac:dyDescent="0.25">
      <c r="A24" s="2" t="s">
        <v>23</v>
      </c>
      <c r="B24" s="2" t="s">
        <v>25</v>
      </c>
      <c r="C24" s="6">
        <v>8700885.7148832008</v>
      </c>
      <c r="D24" s="6">
        <v>5104364.2860647999</v>
      </c>
      <c r="E24" s="6">
        <v>5762450.5956338001</v>
      </c>
      <c r="F24" s="6">
        <v>6466027.3813964007</v>
      </c>
      <c r="G24" s="6">
        <v>5355532.7384630004</v>
      </c>
      <c r="H24" s="6">
        <v>5798648.8099220004</v>
      </c>
      <c r="I24" s="6">
        <v>5744559.5242039999</v>
      </c>
      <c r="J24" s="6">
        <v>5992122.0242210003</v>
      </c>
      <c r="K24" s="6">
        <v>4854166.6670000004</v>
      </c>
      <c r="L24" s="6">
        <v>5708361.3099157996</v>
      </c>
      <c r="M24" s="6">
        <v>6310139.2861476</v>
      </c>
      <c r="N24" s="6">
        <v>4598414.4943633899</v>
      </c>
      <c r="O24" s="95">
        <v>7085557.7380952286</v>
      </c>
      <c r="P24" s="95">
        <v>7813405.357142847</v>
      </c>
      <c r="Q24" s="95">
        <v>7011913.0952380858</v>
      </c>
    </row>
    <row r="25" spans="1:17" x14ac:dyDescent="0.25">
      <c r="A25" s="2" t="s">
        <v>27</v>
      </c>
      <c r="B25" s="2" t="s">
        <v>25</v>
      </c>
      <c r="C25" s="6">
        <v>19167631.033999998</v>
      </c>
      <c r="D25" s="6">
        <v>19470552.995999999</v>
      </c>
      <c r="E25" s="6">
        <v>20190086.458999999</v>
      </c>
      <c r="F25" s="6">
        <v>20370063.627999999</v>
      </c>
      <c r="G25" s="6">
        <v>19146994.318999998</v>
      </c>
      <c r="H25" s="6">
        <v>19726948.546</v>
      </c>
      <c r="I25" s="6">
        <v>20059887.548</v>
      </c>
      <c r="J25" s="6">
        <v>20370438.840999998</v>
      </c>
      <c r="K25" s="6">
        <v>19480183.463</v>
      </c>
      <c r="L25" s="6">
        <v>19740081.000999998</v>
      </c>
      <c r="M25" s="6">
        <v>18781286.715</v>
      </c>
      <c r="N25" s="6">
        <v>21270449.756999999</v>
      </c>
      <c r="O25" s="96">
        <v>19537157.714285716</v>
      </c>
      <c r="P25" s="96">
        <v>19339294.714285716</v>
      </c>
      <c r="Q25" s="96">
        <v>17948125.214285716</v>
      </c>
    </row>
    <row r="26" spans="1:17" x14ac:dyDescent="0.25">
      <c r="A26" s="2" t="s">
        <v>28</v>
      </c>
      <c r="B26" s="2" t="s">
        <v>21</v>
      </c>
      <c r="C26" s="6">
        <v>371067955.36399996</v>
      </c>
      <c r="D26" s="6">
        <v>382891811.45199996</v>
      </c>
      <c r="E26" s="6">
        <v>387098479.89999998</v>
      </c>
      <c r="F26" s="6">
        <v>381646625.93599999</v>
      </c>
      <c r="G26" s="6">
        <v>391821643.25999999</v>
      </c>
      <c r="H26" s="6">
        <v>372994769.76800001</v>
      </c>
      <c r="I26" s="6">
        <v>366371194.06</v>
      </c>
      <c r="J26" s="6">
        <v>202891434.13600001</v>
      </c>
      <c r="K26" s="6">
        <v>145315568.484</v>
      </c>
      <c r="L26" s="6">
        <v>131946738.324</v>
      </c>
      <c r="M26" s="6">
        <v>148514751.808</v>
      </c>
      <c r="N26" s="6">
        <v>130300915.76799999</v>
      </c>
      <c r="O26" s="97">
        <v>139807518.88</v>
      </c>
      <c r="P26" s="97">
        <v>124509400.616</v>
      </c>
      <c r="Q26" s="97">
        <v>165999071.53999999</v>
      </c>
    </row>
    <row r="27" spans="1:17" x14ac:dyDescent="0.25">
      <c r="A27" s="2" t="s">
        <v>31</v>
      </c>
      <c r="B27" s="2" t="s">
        <v>21</v>
      </c>
      <c r="C27" s="6">
        <v>718870200</v>
      </c>
      <c r="D27" s="6">
        <v>493427100</v>
      </c>
      <c r="E27" s="6">
        <v>466195000</v>
      </c>
      <c r="F27" s="6">
        <v>433488600</v>
      </c>
      <c r="G27" s="6">
        <v>290438000</v>
      </c>
      <c r="H27" s="6">
        <v>354314100</v>
      </c>
      <c r="I27" s="6">
        <v>756162300</v>
      </c>
      <c r="J27" s="6">
        <v>1252092300</v>
      </c>
      <c r="K27" s="6">
        <v>1335710800</v>
      </c>
      <c r="L27" s="6">
        <v>1428495300</v>
      </c>
      <c r="M27" s="6">
        <v>1515203100</v>
      </c>
      <c r="N27" s="6">
        <v>1856393899.9999998</v>
      </c>
      <c r="O27" s="3">
        <v>1828141554</v>
      </c>
      <c r="P27" s="3">
        <v>1930605155</v>
      </c>
      <c r="Q27" s="3">
        <v>1823987110</v>
      </c>
    </row>
    <row r="28" spans="1:17" x14ac:dyDescent="0.25">
      <c r="A28" s="2" t="s">
        <v>33</v>
      </c>
      <c r="B28" s="2" t="s">
        <v>21</v>
      </c>
      <c r="C28" s="6">
        <v>54537117.265649803</v>
      </c>
      <c r="D28" s="6">
        <v>70622577.385802001</v>
      </c>
      <c r="E28" s="6">
        <v>77489004.171987802</v>
      </c>
      <c r="F28" s="6">
        <v>73242024.40979141</v>
      </c>
      <c r="G28" s="6">
        <v>58419202.384964004</v>
      </c>
      <c r="H28" s="6">
        <v>78864675.005415604</v>
      </c>
      <c r="I28" s="6">
        <v>28794361.906739201</v>
      </c>
      <c r="J28" s="6">
        <v>4224386.0045051556</v>
      </c>
      <c r="K28" s="6">
        <v>3085308.3335452001</v>
      </c>
      <c r="L28" s="6">
        <v>2937741.6668684003</v>
      </c>
      <c r="M28" s="6">
        <v>3240502.9764130004</v>
      </c>
      <c r="N28" s="6">
        <v>3789301.1907364</v>
      </c>
      <c r="O28" s="98">
        <v>3848411.0716928402</v>
      </c>
      <c r="P28" s="98">
        <v>3542963.3276242465</v>
      </c>
      <c r="Q28" s="98">
        <v>3309002.2026081802</v>
      </c>
    </row>
    <row r="29" spans="1:17" x14ac:dyDescent="0.25">
      <c r="A29" s="2" t="s">
        <v>44</v>
      </c>
      <c r="B29" s="2" t="s">
        <v>21</v>
      </c>
      <c r="C29" s="6"/>
      <c r="D29" s="6"/>
      <c r="E29" s="6"/>
      <c r="F29" s="6"/>
      <c r="G29" s="6"/>
      <c r="H29" s="6"/>
      <c r="I29" s="6"/>
      <c r="J29" s="6"/>
      <c r="K29" s="6"/>
      <c r="L29" s="6">
        <v>33799.271999999997</v>
      </c>
      <c r="M29" s="6">
        <v>79810.092000000004</v>
      </c>
      <c r="N29" s="6">
        <v>53536.190719999999</v>
      </c>
      <c r="O29" s="99">
        <v>43400.639999999999</v>
      </c>
      <c r="P29" s="99">
        <v>42496.801200000002</v>
      </c>
      <c r="Q29" s="99">
        <v>547015.25199999998</v>
      </c>
    </row>
    <row r="30" spans="1:17" x14ac:dyDescent="0.25">
      <c r="A30" s="2" t="s">
        <v>37</v>
      </c>
      <c r="B30" s="2" t="s">
        <v>21</v>
      </c>
      <c r="C30" s="6"/>
      <c r="D30" s="6"/>
      <c r="E30" s="6">
        <v>3300000</v>
      </c>
      <c r="F30" s="6">
        <v>42850500</v>
      </c>
      <c r="G30" s="6">
        <v>90783000</v>
      </c>
      <c r="H30" s="6">
        <v>92697000</v>
      </c>
      <c r="I30" s="3">
        <v>52684500</v>
      </c>
      <c r="J30" s="6"/>
      <c r="K30" s="6"/>
      <c r="L30" s="6"/>
      <c r="M30" s="6"/>
      <c r="N30" s="6"/>
      <c r="O30" s="9"/>
      <c r="P30" s="9"/>
      <c r="Q30" s="9"/>
    </row>
    <row r="31" spans="1:17" x14ac:dyDescent="0.25">
      <c r="A31" s="2" t="s">
        <v>35</v>
      </c>
      <c r="B31" s="2" t="s">
        <v>21</v>
      </c>
      <c r="C31" s="6">
        <v>4749150.6664933404</v>
      </c>
      <c r="D31" s="6">
        <v>3640911.9998671203</v>
      </c>
      <c r="E31" s="6">
        <v>5557998.6664638203</v>
      </c>
      <c r="F31" s="6">
        <v>6128101.3331096806</v>
      </c>
      <c r="G31" s="6">
        <v>5199332.66647691</v>
      </c>
      <c r="H31" s="6">
        <v>4499445.3331691204</v>
      </c>
      <c r="I31" s="6">
        <v>3334853.9998782901</v>
      </c>
      <c r="J31" s="6">
        <v>4914372.6664873101</v>
      </c>
      <c r="K31" s="6">
        <v>3664567.33319959</v>
      </c>
      <c r="L31" s="6">
        <v>3753069.3331963602</v>
      </c>
      <c r="M31" s="6">
        <v>2644465.3332368201</v>
      </c>
      <c r="N31" s="6">
        <v>2853346.4932291969</v>
      </c>
      <c r="O31" s="100">
        <v>3728902.5331972423</v>
      </c>
      <c r="P31" s="100">
        <v>4275587.3331772899</v>
      </c>
      <c r="Q31" s="100">
        <v>2839772.5332296924</v>
      </c>
    </row>
    <row r="32" spans="1:17" x14ac:dyDescent="0.25">
      <c r="A32" s="2" t="s">
        <v>43</v>
      </c>
      <c r="B32" s="2" t="s">
        <v>21</v>
      </c>
      <c r="C32" s="6"/>
      <c r="D32" s="6"/>
      <c r="E32" s="6"/>
      <c r="F32" s="6"/>
      <c r="G32" s="6"/>
      <c r="H32" s="6"/>
      <c r="I32" s="6"/>
      <c r="J32" s="6">
        <v>435126558.01376003</v>
      </c>
      <c r="K32" s="6">
        <v>358515713.11985719</v>
      </c>
      <c r="L32" s="6">
        <v>429332318.48186296</v>
      </c>
      <c r="M32" s="6">
        <v>166330378.5828504</v>
      </c>
      <c r="N32" s="6">
        <v>78262342.267278999</v>
      </c>
      <c r="O32" s="3">
        <v>184119296</v>
      </c>
      <c r="P32" s="3">
        <v>166768207</v>
      </c>
      <c r="Q32" s="3">
        <v>102285474</v>
      </c>
    </row>
    <row r="33" spans="1:18" s="110" customFormat="1" x14ac:dyDescent="0.25">
      <c r="A33" s="93" t="s">
        <v>142</v>
      </c>
      <c r="B33" s="93" t="s">
        <v>145</v>
      </c>
      <c r="C33" s="92">
        <f>SUM(C22:C32)</f>
        <v>1728240124.0450263</v>
      </c>
      <c r="D33" s="92">
        <f t="shared" ref="D33:Q33" si="6">SUM(D22:D32)</f>
        <v>1796365814.619734</v>
      </c>
      <c r="E33" s="92">
        <f t="shared" si="6"/>
        <v>1821934726.2930853</v>
      </c>
      <c r="F33" s="92">
        <f t="shared" si="6"/>
        <v>1796546147.1882975</v>
      </c>
      <c r="G33" s="92">
        <f t="shared" si="6"/>
        <v>1491679708.5539038</v>
      </c>
      <c r="H33" s="92">
        <f t="shared" si="6"/>
        <v>1572678173.3525069</v>
      </c>
      <c r="I33" s="92">
        <f t="shared" si="6"/>
        <v>1599432506.0188217</v>
      </c>
      <c r="J33" s="92">
        <f t="shared" si="6"/>
        <v>1945472063.5809734</v>
      </c>
      <c r="K33" s="92">
        <f t="shared" si="6"/>
        <v>1871519472.4006019</v>
      </c>
      <c r="L33" s="92">
        <f t="shared" si="6"/>
        <v>2022997745.9098437</v>
      </c>
      <c r="M33" s="92">
        <f t="shared" si="6"/>
        <v>1862265498.2556481</v>
      </c>
      <c r="N33" s="92">
        <f t="shared" si="6"/>
        <v>2098268770.8860776</v>
      </c>
      <c r="O33" s="92">
        <f t="shared" si="6"/>
        <v>2186654902.1725092</v>
      </c>
      <c r="P33" s="92">
        <f t="shared" si="6"/>
        <v>2257274830.0303822</v>
      </c>
      <c r="Q33" s="92">
        <f t="shared" si="6"/>
        <v>2124267014.765933</v>
      </c>
    </row>
    <row r="35" spans="1:18" x14ac:dyDescent="0.25">
      <c r="A35" s="4" t="s">
        <v>143</v>
      </c>
      <c r="B35" s="45" t="s">
        <v>21</v>
      </c>
      <c r="C35" s="3">
        <f ca="1">SUMIF($B$22:$N$33,$B$35,C$22:C$33)</f>
        <v>1700371607.2961431</v>
      </c>
      <c r="D35" s="3">
        <f t="shared" ref="D35:N35" ca="1" si="7">SUMIF($B$22:$N$33,$B$35,D$22:D$33)</f>
        <v>1771790897.3376691</v>
      </c>
      <c r="E35" s="3">
        <f t="shared" ca="1" si="7"/>
        <v>1795982189.2384517</v>
      </c>
      <c r="F35" s="3">
        <f t="shared" ca="1" si="7"/>
        <v>1769710056.178901</v>
      </c>
      <c r="G35" s="3">
        <f t="shared" ca="1" si="7"/>
        <v>1466191765.3114409</v>
      </c>
      <c r="H35" s="3">
        <f t="shared" ca="1" si="7"/>
        <v>1546085626.606585</v>
      </c>
      <c r="I35" s="3">
        <f t="shared" ca="1" si="7"/>
        <v>1572571061.9666176</v>
      </c>
      <c r="J35" s="3">
        <f t="shared" ca="1" si="7"/>
        <v>1918006954.3207524</v>
      </c>
      <c r="K35" s="3">
        <f t="shared" ca="1" si="7"/>
        <v>1846291957.2706017</v>
      </c>
      <c r="L35" s="3">
        <f t="shared" ca="1" si="7"/>
        <v>1996498967.0779278</v>
      </c>
      <c r="M35" s="3">
        <f t="shared" ca="1" si="7"/>
        <v>1836013008.7925005</v>
      </c>
      <c r="N35" s="3">
        <f t="shared" ca="1" si="7"/>
        <v>2071653341.9099641</v>
      </c>
      <c r="O35" s="3">
        <f ca="1">SUMIF($B$22:$N$33,$B$35,O$22:O$33)</f>
        <v>2159689083.1248903</v>
      </c>
      <c r="P35" s="3">
        <f ca="1">SUMIF($B$22:$N$33,$B$35,P$22:P$33)</f>
        <v>2229743810.0780015</v>
      </c>
      <c r="Q35" s="3">
        <f ca="1">SUMIF($B$22:$N$33,$B$35,Q$22:Q$33)</f>
        <v>2098967445.5278378</v>
      </c>
      <c r="R35" s="47">
        <f ca="1">(N35-E35)/E35</f>
        <v>0.15349325529135949</v>
      </c>
    </row>
    <row r="36" spans="1:18" x14ac:dyDescent="0.25">
      <c r="A36" s="4" t="s">
        <v>146</v>
      </c>
      <c r="B36" s="4" t="s">
        <v>21</v>
      </c>
      <c r="C36" s="46">
        <v>9972960</v>
      </c>
      <c r="D36" s="46">
        <v>9972960</v>
      </c>
      <c r="E36" s="46">
        <v>10022960</v>
      </c>
      <c r="F36" s="46">
        <v>10022960</v>
      </c>
      <c r="G36" s="46">
        <v>10355328</v>
      </c>
      <c r="H36" s="46">
        <v>10371033</v>
      </c>
      <c r="I36" s="46">
        <v>10488336</v>
      </c>
      <c r="J36" s="46">
        <v>10677667</v>
      </c>
      <c r="K36" s="46">
        <v>10777084</v>
      </c>
      <c r="L36" s="46">
        <v>10831867</v>
      </c>
      <c r="M36" s="46">
        <v>11279169</v>
      </c>
      <c r="N36" s="46">
        <v>11639494</v>
      </c>
      <c r="O36" s="109">
        <v>12239033</v>
      </c>
      <c r="P36" s="109">
        <v>12514904</v>
      </c>
      <c r="Q36" s="109">
        <v>12805925</v>
      </c>
      <c r="R36" s="47">
        <f>(N36-E36)/E36</f>
        <v>0.16128309401613894</v>
      </c>
    </row>
    <row r="37" spans="1:18" x14ac:dyDescent="0.25">
      <c r="A37" s="4" t="s">
        <v>147</v>
      </c>
      <c r="B37" s="4" t="s">
        <v>21</v>
      </c>
      <c r="C37" s="44">
        <f ca="1">C35/C36</f>
        <v>170.4981878295053</v>
      </c>
      <c r="D37" s="44">
        <f t="shared" ref="D37:Q37" ca="1" si="8">D35/D36</f>
        <v>177.65948097031063</v>
      </c>
      <c r="E37" s="44">
        <f t="shared" ca="1" si="8"/>
        <v>179.1868060172296</v>
      </c>
      <c r="F37" s="44">
        <f t="shared" ca="1" si="8"/>
        <v>176.56561097509129</v>
      </c>
      <c r="G37" s="44">
        <f t="shared" ca="1" si="8"/>
        <v>141.58815300794345</v>
      </c>
      <c r="H37" s="44">
        <f t="shared" ca="1" si="8"/>
        <v>149.07730277269246</v>
      </c>
      <c r="I37" s="44">
        <f t="shared" ca="1" si="8"/>
        <v>149.93522918855933</v>
      </c>
      <c r="J37" s="44">
        <f t="shared" ca="1" si="8"/>
        <v>179.62790507708775</v>
      </c>
      <c r="K37" s="44">
        <f t="shared" ca="1" si="8"/>
        <v>171.31646716965383</v>
      </c>
      <c r="L37" s="44">
        <f t="shared" ca="1" si="8"/>
        <v>184.31716038222476</v>
      </c>
      <c r="M37" s="44">
        <f t="shared" ca="1" si="8"/>
        <v>162.77910267968326</v>
      </c>
      <c r="N37" s="44">
        <f t="shared" ca="1" si="8"/>
        <v>177.98482837054291</v>
      </c>
      <c r="O37" s="44">
        <f t="shared" ca="1" si="8"/>
        <v>176.45912737753795</v>
      </c>
      <c r="P37" s="44">
        <f t="shared" ca="1" si="8"/>
        <v>178.16707264218738</v>
      </c>
      <c r="Q37" s="44">
        <f t="shared" ca="1" si="8"/>
        <v>163.90596114906481</v>
      </c>
    </row>
    <row r="38" spans="1:18" x14ac:dyDescent="0.25">
      <c r="A38" s="48" t="s">
        <v>66</v>
      </c>
      <c r="B38" s="4" t="s">
        <v>21</v>
      </c>
      <c r="C38" s="49"/>
      <c r="D38" s="49"/>
      <c r="E38" s="64">
        <f ca="1">(E37-$E37)/$E37</f>
        <v>0</v>
      </c>
      <c r="F38" s="64">
        <f t="shared" ref="F38:M38" ca="1" si="9">(F37-$E37)/$E37</f>
        <v>-1.4628281514690715E-2</v>
      </c>
      <c r="G38" s="64">
        <f t="shared" ca="1" si="9"/>
        <v>-0.20982936101707667</v>
      </c>
      <c r="H38" s="64">
        <f t="shared" ca="1" si="9"/>
        <v>-0.16803415337199534</v>
      </c>
      <c r="I38" s="64">
        <f t="shared" ca="1" si="9"/>
        <v>-0.16324626505066225</v>
      </c>
      <c r="J38" s="64">
        <f t="shared" ca="1" si="9"/>
        <v>2.4616715352118769E-3</v>
      </c>
      <c r="K38" s="64">
        <f t="shared" ca="1" si="9"/>
        <v>-4.3922535495269657E-2</v>
      </c>
      <c r="L38" s="64">
        <f t="shared" ca="1" si="9"/>
        <v>2.8631317668008718E-2</v>
      </c>
      <c r="M38" s="64">
        <f t="shared" ca="1" si="9"/>
        <v>-9.1567586376692628E-2</v>
      </c>
      <c r="N38" s="64">
        <f ca="1">(N37-$E37)/$E37</f>
        <v>-6.7079584340105402E-3</v>
      </c>
      <c r="O38" s="64">
        <f t="shared" ref="O38:Q38" ca="1" si="10">(O37-$E37)/$E37</f>
        <v>-1.5222541772575421E-2</v>
      </c>
      <c r="P38" s="64">
        <f t="shared" ca="1" si="10"/>
        <v>-5.6908954275582653E-3</v>
      </c>
      <c r="Q38" s="64">
        <f t="shared" ca="1" si="10"/>
        <v>-8.5278850646489407E-2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cols>
    <col min="1" max="16384" width="9.140625" style="117"/>
  </cols>
  <sheetData/>
  <mergeCells count="1">
    <mergeCell ref="A1:XFD10485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65"/>
  <sheetViews>
    <sheetView topLeftCell="A129" workbookViewId="0">
      <selection activeCell="J132" sqref="J132:J146"/>
    </sheetView>
  </sheetViews>
  <sheetFormatPr defaultRowHeight="15" x14ac:dyDescent="0.25"/>
  <cols>
    <col min="3" max="3" width="17.28515625" bestFit="1" customWidth="1"/>
    <col min="4" max="4" width="26.85546875" bestFit="1" customWidth="1"/>
    <col min="5" max="5" width="15.42578125" bestFit="1" customWidth="1"/>
    <col min="7" max="7" width="14.28515625" bestFit="1" customWidth="1"/>
    <col min="15" max="15" width="14.85546875" bestFit="1" customWidth="1"/>
  </cols>
  <sheetData>
    <row r="1" spans="1:15" x14ac:dyDescent="0.25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</row>
    <row r="2" spans="1:15" hidden="1" x14ac:dyDescent="0.25">
      <c r="A2" s="66">
        <v>2002</v>
      </c>
      <c r="B2" s="67" t="s">
        <v>15</v>
      </c>
      <c r="C2" s="67" t="s">
        <v>16</v>
      </c>
      <c r="D2" s="67" t="s">
        <v>17</v>
      </c>
      <c r="E2" s="50">
        <v>27296</v>
      </c>
      <c r="F2" s="67" t="s">
        <v>18</v>
      </c>
      <c r="G2" s="51">
        <v>3150959.5381999998</v>
      </c>
      <c r="H2" s="50">
        <v>51895.394449439998</v>
      </c>
      <c r="I2" s="50">
        <v>0</v>
      </c>
      <c r="J2" s="50">
        <v>51895.394449439998</v>
      </c>
      <c r="K2" s="67" t="s">
        <v>19</v>
      </c>
      <c r="L2" s="67" t="s">
        <v>20</v>
      </c>
      <c r="M2" s="67" t="s">
        <v>21</v>
      </c>
      <c r="N2" s="67" t="s">
        <v>22</v>
      </c>
      <c r="O2" s="50">
        <v>9972960</v>
      </c>
    </row>
    <row r="3" spans="1:15" hidden="1" x14ac:dyDescent="0.25">
      <c r="A3" s="66">
        <v>2002</v>
      </c>
      <c r="B3" s="67" t="s">
        <v>15</v>
      </c>
      <c r="C3" s="67" t="s">
        <v>16</v>
      </c>
      <c r="D3" s="67" t="s">
        <v>23</v>
      </c>
      <c r="E3" s="50">
        <v>62736</v>
      </c>
      <c r="F3" s="67" t="s">
        <v>24</v>
      </c>
      <c r="G3" s="51">
        <v>76355.2019</v>
      </c>
      <c r="H3" s="50">
        <v>636.66193827219604</v>
      </c>
      <c r="I3" s="50">
        <v>23.075928238294225</v>
      </c>
      <c r="J3" s="50">
        <v>659.73786651049022</v>
      </c>
      <c r="K3" s="67" t="s">
        <v>19</v>
      </c>
      <c r="L3" s="67" t="s">
        <v>19</v>
      </c>
      <c r="M3" s="67" t="s">
        <v>25</v>
      </c>
      <c r="N3" s="67" t="s">
        <v>26</v>
      </c>
      <c r="O3" s="50">
        <v>9972960</v>
      </c>
    </row>
    <row r="4" spans="1:15" hidden="1" x14ac:dyDescent="0.25">
      <c r="A4" s="66">
        <v>2002</v>
      </c>
      <c r="B4" s="67" t="s">
        <v>15</v>
      </c>
      <c r="C4" s="67" t="s">
        <v>16</v>
      </c>
      <c r="D4" s="67" t="s">
        <v>27</v>
      </c>
      <c r="E4" s="50">
        <v>153254</v>
      </c>
      <c r="F4" s="67" t="s">
        <v>24</v>
      </c>
      <c r="G4" s="51">
        <v>185586.9615</v>
      </c>
      <c r="H4" s="50">
        <v>1365.2605542119843</v>
      </c>
      <c r="I4" s="50">
        <v>49.484118150785655</v>
      </c>
      <c r="J4" s="50">
        <v>1414.74467236277</v>
      </c>
      <c r="K4" s="67" t="s">
        <v>19</v>
      </c>
      <c r="L4" s="67" t="s">
        <v>19</v>
      </c>
      <c r="M4" s="67" t="s">
        <v>25</v>
      </c>
      <c r="N4" s="67" t="s">
        <v>27</v>
      </c>
      <c r="O4" s="50">
        <v>9972960</v>
      </c>
    </row>
    <row r="5" spans="1:15" hidden="1" x14ac:dyDescent="0.25">
      <c r="A5" s="66">
        <v>2002</v>
      </c>
      <c r="B5" s="67" t="s">
        <v>15</v>
      </c>
      <c r="C5" s="67" t="s">
        <v>16</v>
      </c>
      <c r="D5" s="67" t="s">
        <v>28</v>
      </c>
      <c r="E5" s="50">
        <v>108753797</v>
      </c>
      <c r="F5" s="67" t="s">
        <v>29</v>
      </c>
      <c r="G5" s="51">
        <v>10875379.699999999</v>
      </c>
      <c r="H5" s="50">
        <v>58894.053869992611</v>
      </c>
      <c r="I5" s="50">
        <v>0</v>
      </c>
      <c r="J5" s="50">
        <v>58894.053869992611</v>
      </c>
      <c r="K5" s="67" t="s">
        <v>19</v>
      </c>
      <c r="L5" s="67" t="s">
        <v>19</v>
      </c>
      <c r="M5" s="67" t="s">
        <v>21</v>
      </c>
      <c r="N5" s="67" t="s">
        <v>30</v>
      </c>
      <c r="O5" s="50">
        <v>9972960</v>
      </c>
    </row>
    <row r="6" spans="1:15" hidden="1" x14ac:dyDescent="0.25">
      <c r="A6" s="66">
        <v>2002</v>
      </c>
      <c r="B6" s="67" t="s">
        <v>15</v>
      </c>
      <c r="C6" s="67" t="s">
        <v>16</v>
      </c>
      <c r="D6" s="67" t="s">
        <v>31</v>
      </c>
      <c r="E6" s="50">
        <v>7188702</v>
      </c>
      <c r="F6" s="67" t="s">
        <v>32</v>
      </c>
      <c r="G6" s="51">
        <v>7542774.8564999998</v>
      </c>
      <c r="H6" s="50">
        <v>38237.406117574799</v>
      </c>
      <c r="I6" s="50">
        <v>0</v>
      </c>
      <c r="J6" s="50">
        <v>38237.406117574799</v>
      </c>
      <c r="K6" s="67" t="s">
        <v>19</v>
      </c>
      <c r="L6" s="67" t="s">
        <v>20</v>
      </c>
      <c r="M6" s="67" t="s">
        <v>21</v>
      </c>
      <c r="N6" s="67" t="s">
        <v>31</v>
      </c>
      <c r="O6" s="50">
        <v>9972960</v>
      </c>
    </row>
    <row r="7" spans="1:15" hidden="1" x14ac:dyDescent="0.25">
      <c r="A7" s="66">
        <v>2002</v>
      </c>
      <c r="B7" s="67" t="s">
        <v>15</v>
      </c>
      <c r="C7" s="67" t="s">
        <v>16</v>
      </c>
      <c r="D7" s="67" t="s">
        <v>33</v>
      </c>
      <c r="E7" s="50">
        <v>393229</v>
      </c>
      <c r="F7" s="67" t="s">
        <v>24</v>
      </c>
      <c r="G7" s="51">
        <v>358072.3015</v>
      </c>
      <c r="H7" s="50">
        <v>4011.4736193033</v>
      </c>
      <c r="I7" s="50">
        <v>0</v>
      </c>
      <c r="J7" s="50">
        <v>4011.4736193033</v>
      </c>
      <c r="K7" s="67" t="s">
        <v>19</v>
      </c>
      <c r="L7" s="67" t="s">
        <v>20</v>
      </c>
      <c r="M7" s="67" t="s">
        <v>21</v>
      </c>
      <c r="N7" s="67" t="s">
        <v>34</v>
      </c>
      <c r="O7" s="50">
        <v>9972960</v>
      </c>
    </row>
    <row r="8" spans="1:15" hidden="1" x14ac:dyDescent="0.25">
      <c r="A8" s="66">
        <v>2002</v>
      </c>
      <c r="B8" s="67" t="s">
        <v>15</v>
      </c>
      <c r="C8" s="67" t="s">
        <v>16</v>
      </c>
      <c r="D8" s="67" t="s">
        <v>35</v>
      </c>
      <c r="E8" s="50">
        <v>51998</v>
      </c>
      <c r="F8" s="67" t="s">
        <v>24</v>
      </c>
      <c r="G8" s="51">
        <v>55657.391000000003</v>
      </c>
      <c r="H8" s="50">
        <v>301.44431354200003</v>
      </c>
      <c r="I8" s="50">
        <v>0</v>
      </c>
      <c r="J8" s="50">
        <v>301.44431354200003</v>
      </c>
      <c r="K8" s="67" t="s">
        <v>19</v>
      </c>
      <c r="L8" s="67" t="s">
        <v>20</v>
      </c>
      <c r="M8" s="67" t="s">
        <v>21</v>
      </c>
      <c r="N8" s="67" t="s">
        <v>36</v>
      </c>
      <c r="O8" s="50">
        <v>9972960</v>
      </c>
    </row>
    <row r="9" spans="1:15" hidden="1" x14ac:dyDescent="0.25">
      <c r="A9" s="66">
        <v>2003</v>
      </c>
      <c r="B9" s="67" t="s">
        <v>15</v>
      </c>
      <c r="C9" s="67" t="s">
        <v>16</v>
      </c>
      <c r="D9" s="67" t="s">
        <v>17</v>
      </c>
      <c r="E9" s="50">
        <v>40671</v>
      </c>
      <c r="F9" s="67" t="s">
        <v>18</v>
      </c>
      <c r="G9" s="51">
        <v>4694925.0944999997</v>
      </c>
      <c r="H9" s="50">
        <v>77324.061681314997</v>
      </c>
      <c r="I9" s="50">
        <v>0</v>
      </c>
      <c r="J9" s="50">
        <v>77324.061681314997</v>
      </c>
      <c r="K9" s="67" t="s">
        <v>19</v>
      </c>
      <c r="L9" s="67" t="s">
        <v>20</v>
      </c>
      <c r="M9" s="67" t="s">
        <v>21</v>
      </c>
      <c r="N9" s="67" t="s">
        <v>22</v>
      </c>
      <c r="O9" s="50">
        <v>9972960</v>
      </c>
    </row>
    <row r="10" spans="1:15" hidden="1" x14ac:dyDescent="0.25">
      <c r="A10" s="66">
        <v>2003</v>
      </c>
      <c r="B10" s="67" t="s">
        <v>15</v>
      </c>
      <c r="C10" s="67" t="s">
        <v>16</v>
      </c>
      <c r="D10" s="67" t="s">
        <v>23</v>
      </c>
      <c r="E10" s="50">
        <v>36804</v>
      </c>
      <c r="F10" s="67" t="s">
        <v>24</v>
      </c>
      <c r="G10" s="51">
        <v>49498.973899999997</v>
      </c>
      <c r="H10" s="50">
        <v>373.49697105601092</v>
      </c>
      <c r="I10" s="50">
        <v>12.434629386184334</v>
      </c>
      <c r="J10" s="50">
        <v>385.93160044219525</v>
      </c>
      <c r="K10" s="67" t="s">
        <v>19</v>
      </c>
      <c r="L10" s="67" t="s">
        <v>19</v>
      </c>
      <c r="M10" s="67" t="s">
        <v>25</v>
      </c>
      <c r="N10" s="67" t="s">
        <v>26</v>
      </c>
      <c r="O10" s="50">
        <v>9972960</v>
      </c>
    </row>
    <row r="11" spans="1:15" hidden="1" x14ac:dyDescent="0.25">
      <c r="A11" s="66">
        <v>2003</v>
      </c>
      <c r="B11" s="67" t="s">
        <v>15</v>
      </c>
      <c r="C11" s="67" t="s">
        <v>16</v>
      </c>
      <c r="D11" s="67" t="s">
        <v>27</v>
      </c>
      <c r="E11" s="50">
        <v>155676</v>
      </c>
      <c r="F11" s="67" t="s">
        <v>24</v>
      </c>
      <c r="G11" s="51">
        <v>212559.16810000001</v>
      </c>
      <c r="H11" s="50">
        <v>1386.8368984659774</v>
      </c>
      <c r="I11" s="50">
        <v>46.171198665286333</v>
      </c>
      <c r="J11" s="50">
        <v>1433.0080971312636</v>
      </c>
      <c r="K11" s="67" t="s">
        <v>19</v>
      </c>
      <c r="L11" s="67" t="s">
        <v>19</v>
      </c>
      <c r="M11" s="67" t="s">
        <v>25</v>
      </c>
      <c r="N11" s="67" t="s">
        <v>27</v>
      </c>
      <c r="O11" s="50">
        <v>9972960</v>
      </c>
    </row>
    <row r="12" spans="1:15" hidden="1" x14ac:dyDescent="0.25">
      <c r="A12" s="66">
        <v>2003</v>
      </c>
      <c r="B12" s="67" t="s">
        <v>15</v>
      </c>
      <c r="C12" s="67" t="s">
        <v>16</v>
      </c>
      <c r="D12" s="67" t="s">
        <v>28</v>
      </c>
      <c r="E12" s="50">
        <v>112219171</v>
      </c>
      <c r="F12" s="67" t="s">
        <v>29</v>
      </c>
      <c r="G12" s="51">
        <v>12344108.810000001</v>
      </c>
      <c r="H12" s="50">
        <v>62330.30296198772</v>
      </c>
      <c r="I12" s="50">
        <v>0</v>
      </c>
      <c r="J12" s="50">
        <v>62330.30296198772</v>
      </c>
      <c r="K12" s="67" t="s">
        <v>19</v>
      </c>
      <c r="L12" s="67" t="s">
        <v>19</v>
      </c>
      <c r="M12" s="67" t="s">
        <v>21</v>
      </c>
      <c r="N12" s="67" t="s">
        <v>30</v>
      </c>
      <c r="O12" s="50">
        <v>9972960</v>
      </c>
    </row>
    <row r="13" spans="1:15" hidden="1" x14ac:dyDescent="0.25">
      <c r="A13" s="66">
        <v>2003</v>
      </c>
      <c r="B13" s="67" t="s">
        <v>15</v>
      </c>
      <c r="C13" s="67" t="s">
        <v>16</v>
      </c>
      <c r="D13" s="67" t="s">
        <v>31</v>
      </c>
      <c r="E13" s="50">
        <v>4934271</v>
      </c>
      <c r="F13" s="67" t="s">
        <v>32</v>
      </c>
      <c r="G13" s="51">
        <v>4896276.8865999999</v>
      </c>
      <c r="H13" s="50">
        <v>26245.868046995402</v>
      </c>
      <c r="I13" s="50">
        <v>0</v>
      </c>
      <c r="J13" s="50">
        <v>26245.868046995402</v>
      </c>
      <c r="K13" s="67" t="s">
        <v>19</v>
      </c>
      <c r="L13" s="67" t="s">
        <v>20</v>
      </c>
      <c r="M13" s="67" t="s">
        <v>21</v>
      </c>
      <c r="N13" s="67" t="s">
        <v>31</v>
      </c>
      <c r="O13" s="50">
        <v>9972960</v>
      </c>
    </row>
    <row r="14" spans="1:15" hidden="1" x14ac:dyDescent="0.25">
      <c r="A14" s="66">
        <v>2003</v>
      </c>
      <c r="B14" s="67" t="s">
        <v>15</v>
      </c>
      <c r="C14" s="67" t="s">
        <v>16</v>
      </c>
      <c r="D14" s="67" t="s">
        <v>33</v>
      </c>
      <c r="E14" s="50">
        <v>509210</v>
      </c>
      <c r="F14" s="67" t="s">
        <v>24</v>
      </c>
      <c r="G14" s="51">
        <v>543327.06999999995</v>
      </c>
      <c r="H14" s="50">
        <v>5194.6384465170004</v>
      </c>
      <c r="I14" s="50">
        <v>0</v>
      </c>
      <c r="J14" s="50">
        <v>5194.6384465170004</v>
      </c>
      <c r="K14" s="67" t="s">
        <v>19</v>
      </c>
      <c r="L14" s="67" t="s">
        <v>20</v>
      </c>
      <c r="M14" s="67" t="s">
        <v>21</v>
      </c>
      <c r="N14" s="67" t="s">
        <v>34</v>
      </c>
      <c r="O14" s="50">
        <v>9972960</v>
      </c>
    </row>
    <row r="15" spans="1:15" hidden="1" x14ac:dyDescent="0.25">
      <c r="A15" s="66">
        <v>2003</v>
      </c>
      <c r="B15" s="67" t="s">
        <v>15</v>
      </c>
      <c r="C15" s="67" t="s">
        <v>16</v>
      </c>
      <c r="D15" s="67" t="s">
        <v>35</v>
      </c>
      <c r="E15" s="50">
        <v>39864</v>
      </c>
      <c r="F15" s="67" t="s">
        <v>24</v>
      </c>
      <c r="G15" s="51">
        <v>42669.453300000001</v>
      </c>
      <c r="H15" s="50">
        <v>231.100736856</v>
      </c>
      <c r="I15" s="50">
        <v>0</v>
      </c>
      <c r="J15" s="50">
        <v>231.100736856</v>
      </c>
      <c r="K15" s="67" t="s">
        <v>19</v>
      </c>
      <c r="L15" s="67" t="s">
        <v>20</v>
      </c>
      <c r="M15" s="67" t="s">
        <v>21</v>
      </c>
      <c r="N15" s="67" t="s">
        <v>36</v>
      </c>
      <c r="O15" s="50">
        <v>9972960</v>
      </c>
    </row>
    <row r="16" spans="1:15" hidden="1" x14ac:dyDescent="0.25">
      <c r="A16" s="66">
        <v>2004</v>
      </c>
      <c r="B16" s="67" t="s">
        <v>15</v>
      </c>
      <c r="C16" s="67" t="s">
        <v>16</v>
      </c>
      <c r="D16" s="67" t="s">
        <v>17</v>
      </c>
      <c r="E16" s="50">
        <v>42411</v>
      </c>
      <c r="F16" s="67" t="s">
        <v>18</v>
      </c>
      <c r="G16" s="51">
        <v>3390160.5502999998</v>
      </c>
      <c r="H16" s="50">
        <v>80632.164932415006</v>
      </c>
      <c r="I16" s="50">
        <v>0</v>
      </c>
      <c r="J16" s="50">
        <v>80632.164932415006</v>
      </c>
      <c r="K16" s="67" t="s">
        <v>19</v>
      </c>
      <c r="L16" s="67" t="s">
        <v>20</v>
      </c>
      <c r="M16" s="67" t="s">
        <v>21</v>
      </c>
      <c r="N16" s="67" t="s">
        <v>22</v>
      </c>
      <c r="O16" s="50">
        <v>10022960</v>
      </c>
    </row>
    <row r="17" spans="1:15" hidden="1" x14ac:dyDescent="0.25">
      <c r="A17" s="66">
        <v>2004</v>
      </c>
      <c r="B17" s="67" t="s">
        <v>15</v>
      </c>
      <c r="C17" s="67" t="s">
        <v>16</v>
      </c>
      <c r="D17" s="67" t="s">
        <v>23</v>
      </c>
      <c r="E17" s="50">
        <v>41549</v>
      </c>
      <c r="F17" s="67" t="s">
        <v>24</v>
      </c>
      <c r="G17" s="51">
        <v>65998</v>
      </c>
      <c r="H17" s="50">
        <v>421.65051761781865</v>
      </c>
      <c r="I17" s="50">
        <v>12.833480278343309</v>
      </c>
      <c r="J17" s="50">
        <v>434.48399789616195</v>
      </c>
      <c r="K17" s="67" t="s">
        <v>19</v>
      </c>
      <c r="L17" s="67" t="s">
        <v>19</v>
      </c>
      <c r="M17" s="67" t="s">
        <v>25</v>
      </c>
      <c r="N17" s="67" t="s">
        <v>26</v>
      </c>
      <c r="O17" s="50">
        <v>10022960</v>
      </c>
    </row>
    <row r="18" spans="1:15" hidden="1" x14ac:dyDescent="0.25">
      <c r="A18" s="66">
        <v>2004</v>
      </c>
      <c r="B18" s="67" t="s">
        <v>15</v>
      </c>
      <c r="C18" s="67" t="s">
        <v>16</v>
      </c>
      <c r="D18" s="67" t="s">
        <v>27</v>
      </c>
      <c r="E18" s="50">
        <v>161429</v>
      </c>
      <c r="F18" s="67" t="s">
        <v>24</v>
      </c>
      <c r="G18" s="51">
        <v>252233</v>
      </c>
      <c r="H18" s="50">
        <v>1438.0873974309736</v>
      </c>
      <c r="I18" s="50">
        <v>43.770054778380597</v>
      </c>
      <c r="J18" s="50">
        <v>1481.8574522093543</v>
      </c>
      <c r="K18" s="67" t="s">
        <v>19</v>
      </c>
      <c r="L18" s="67" t="s">
        <v>19</v>
      </c>
      <c r="M18" s="67" t="s">
        <v>25</v>
      </c>
      <c r="N18" s="67" t="s">
        <v>27</v>
      </c>
      <c r="O18" s="50">
        <v>10022960</v>
      </c>
    </row>
    <row r="19" spans="1:15" hidden="1" x14ac:dyDescent="0.25">
      <c r="A19" s="66">
        <v>2004</v>
      </c>
      <c r="B19" s="67" t="s">
        <v>15</v>
      </c>
      <c r="C19" s="67" t="s">
        <v>16</v>
      </c>
      <c r="D19" s="67" t="s">
        <v>28</v>
      </c>
      <c r="E19" s="50">
        <v>113452075</v>
      </c>
      <c r="F19" s="67" t="s">
        <v>29</v>
      </c>
      <c r="G19" s="51">
        <v>7452031</v>
      </c>
      <c r="H19" s="50">
        <v>63513.023724185143</v>
      </c>
      <c r="I19" s="50">
        <v>0</v>
      </c>
      <c r="J19" s="50">
        <v>63513.023724185143</v>
      </c>
      <c r="K19" s="67" t="s">
        <v>19</v>
      </c>
      <c r="L19" s="67" t="s">
        <v>19</v>
      </c>
      <c r="M19" s="67" t="s">
        <v>21</v>
      </c>
      <c r="N19" s="67" t="s">
        <v>30</v>
      </c>
      <c r="O19" s="50">
        <v>10022960</v>
      </c>
    </row>
    <row r="20" spans="1:15" hidden="1" x14ac:dyDescent="0.25">
      <c r="A20" s="66">
        <v>2004</v>
      </c>
      <c r="B20" s="67" t="s">
        <v>15</v>
      </c>
      <c r="C20" s="67" t="s">
        <v>16</v>
      </c>
      <c r="D20" s="67" t="s">
        <v>31</v>
      </c>
      <c r="E20" s="50">
        <v>4661950</v>
      </c>
      <c r="F20" s="67" t="s">
        <v>32</v>
      </c>
      <c r="G20" s="51">
        <v>3189024</v>
      </c>
      <c r="H20" s="50">
        <v>24797.366123930002</v>
      </c>
      <c r="I20" s="50">
        <v>0</v>
      </c>
      <c r="J20" s="50">
        <v>24797.366123930002</v>
      </c>
      <c r="K20" s="67" t="s">
        <v>19</v>
      </c>
      <c r="L20" s="67" t="s">
        <v>19</v>
      </c>
      <c r="M20" s="67" t="s">
        <v>21</v>
      </c>
      <c r="N20" s="67" t="s">
        <v>31</v>
      </c>
      <c r="O20" s="50">
        <v>10022960</v>
      </c>
    </row>
    <row r="21" spans="1:15" hidden="1" x14ac:dyDescent="0.25">
      <c r="A21" s="66">
        <v>2004</v>
      </c>
      <c r="B21" s="67" t="s">
        <v>15</v>
      </c>
      <c r="C21" s="67" t="s">
        <v>16</v>
      </c>
      <c r="D21" s="67" t="s">
        <v>33</v>
      </c>
      <c r="E21" s="50">
        <v>558719</v>
      </c>
      <c r="F21" s="67" t="s">
        <v>24</v>
      </c>
      <c r="G21" s="51">
        <v>512242</v>
      </c>
      <c r="H21" s="50">
        <v>5699.6979599762999</v>
      </c>
      <c r="I21" s="50">
        <v>0</v>
      </c>
      <c r="J21" s="50">
        <v>5699.6979599762999</v>
      </c>
      <c r="K21" s="67" t="s">
        <v>19</v>
      </c>
      <c r="L21" s="67" t="s">
        <v>19</v>
      </c>
      <c r="M21" s="67" t="s">
        <v>21</v>
      </c>
      <c r="N21" s="67" t="s">
        <v>34</v>
      </c>
      <c r="O21" s="50">
        <v>10022960</v>
      </c>
    </row>
    <row r="22" spans="1:15" hidden="1" x14ac:dyDescent="0.25">
      <c r="A22" s="66">
        <v>2004</v>
      </c>
      <c r="B22" s="67" t="s">
        <v>15</v>
      </c>
      <c r="C22" s="67" t="s">
        <v>16</v>
      </c>
      <c r="D22" s="67" t="s">
        <v>37</v>
      </c>
      <c r="E22" s="50">
        <v>200</v>
      </c>
      <c r="F22" s="67" t="s">
        <v>18</v>
      </c>
      <c r="G22" s="51">
        <v>10000</v>
      </c>
      <c r="H22" s="50">
        <v>0</v>
      </c>
      <c r="I22" s="50">
        <v>0</v>
      </c>
      <c r="J22" s="50">
        <v>0</v>
      </c>
      <c r="K22" s="67" t="s">
        <v>19</v>
      </c>
      <c r="L22" s="67" t="s">
        <v>19</v>
      </c>
      <c r="M22" s="67" t="s">
        <v>21</v>
      </c>
      <c r="N22" s="67" t="s">
        <v>37</v>
      </c>
      <c r="O22" s="50">
        <v>10022960</v>
      </c>
    </row>
    <row r="23" spans="1:15" hidden="1" x14ac:dyDescent="0.25">
      <c r="A23" s="66">
        <v>2004</v>
      </c>
      <c r="B23" s="67" t="s">
        <v>15</v>
      </c>
      <c r="C23" s="67" t="s">
        <v>16</v>
      </c>
      <c r="D23" s="67" t="s">
        <v>35</v>
      </c>
      <c r="E23" s="50">
        <v>60854</v>
      </c>
      <c r="F23" s="67" t="s">
        <v>24</v>
      </c>
      <c r="G23" s="51">
        <v>60255</v>
      </c>
      <c r="H23" s="50">
        <v>352.78457356600001</v>
      </c>
      <c r="I23" s="50">
        <v>0</v>
      </c>
      <c r="J23" s="50">
        <v>352.78457356600001</v>
      </c>
      <c r="K23" s="67" t="s">
        <v>19</v>
      </c>
      <c r="L23" s="67" t="s">
        <v>19</v>
      </c>
      <c r="M23" s="67" t="s">
        <v>21</v>
      </c>
      <c r="N23" s="67" t="s">
        <v>36</v>
      </c>
      <c r="O23" s="50">
        <v>10022960</v>
      </c>
    </row>
    <row r="24" spans="1:15" hidden="1" x14ac:dyDescent="0.25">
      <c r="A24" s="66">
        <v>2005</v>
      </c>
      <c r="B24" s="67" t="s">
        <v>15</v>
      </c>
      <c r="C24" s="67" t="s">
        <v>16</v>
      </c>
      <c r="D24" s="67" t="s">
        <v>17</v>
      </c>
      <c r="E24" s="50">
        <v>41223</v>
      </c>
      <c r="F24" s="67" t="s">
        <v>18</v>
      </c>
      <c r="G24" s="51">
        <v>5692465</v>
      </c>
      <c r="H24" s="50">
        <v>78373.528919595003</v>
      </c>
      <c r="I24" s="50">
        <v>0</v>
      </c>
      <c r="J24" s="50">
        <v>78373.528919595003</v>
      </c>
      <c r="K24" s="67" t="s">
        <v>19</v>
      </c>
      <c r="L24" s="67" t="s">
        <v>19</v>
      </c>
      <c r="M24" s="67" t="s">
        <v>21</v>
      </c>
      <c r="N24" s="67" t="s">
        <v>22</v>
      </c>
      <c r="O24" s="50">
        <v>10022960</v>
      </c>
    </row>
    <row r="25" spans="1:15" hidden="1" x14ac:dyDescent="0.25">
      <c r="A25" s="66">
        <v>2005</v>
      </c>
      <c r="B25" s="67" t="s">
        <v>15</v>
      </c>
      <c r="C25" s="67" t="s">
        <v>16</v>
      </c>
      <c r="D25" s="67" t="s">
        <v>23</v>
      </c>
      <c r="E25" s="50">
        <v>46622</v>
      </c>
      <c r="F25" s="67" t="s">
        <v>24</v>
      </c>
      <c r="G25" s="51">
        <v>86868</v>
      </c>
      <c r="H25" s="50">
        <v>473.13269711371976</v>
      </c>
      <c r="I25" s="50">
        <v>13.733283250728999</v>
      </c>
      <c r="J25" s="50">
        <v>486.86598036444877</v>
      </c>
      <c r="K25" s="67" t="s">
        <v>19</v>
      </c>
      <c r="L25" s="67" t="s">
        <v>19</v>
      </c>
      <c r="M25" s="67" t="s">
        <v>25</v>
      </c>
      <c r="N25" s="67" t="s">
        <v>26</v>
      </c>
      <c r="O25" s="50">
        <v>10022960</v>
      </c>
    </row>
    <row r="26" spans="1:15" hidden="1" x14ac:dyDescent="0.25">
      <c r="A26" s="66">
        <v>2005</v>
      </c>
      <c r="B26" s="67" t="s">
        <v>15</v>
      </c>
      <c r="C26" s="67" t="s">
        <v>16</v>
      </c>
      <c r="D26" s="67" t="s">
        <v>27</v>
      </c>
      <c r="E26" s="50">
        <v>162868</v>
      </c>
      <c r="F26" s="67" t="s">
        <v>24</v>
      </c>
      <c r="G26" s="51">
        <v>278874</v>
      </c>
      <c r="H26" s="50">
        <v>1450.9067035339858</v>
      </c>
      <c r="I26" s="50">
        <v>42.114427625838907</v>
      </c>
      <c r="J26" s="50">
        <v>1493.0211311598248</v>
      </c>
      <c r="K26" s="67" t="s">
        <v>19</v>
      </c>
      <c r="L26" s="67" t="s">
        <v>19</v>
      </c>
      <c r="M26" s="67" t="s">
        <v>25</v>
      </c>
      <c r="N26" s="67" t="s">
        <v>27</v>
      </c>
      <c r="O26" s="50">
        <v>10022960</v>
      </c>
    </row>
    <row r="27" spans="1:15" hidden="1" x14ac:dyDescent="0.25">
      <c r="A27" s="66">
        <v>2005</v>
      </c>
      <c r="B27" s="67" t="s">
        <v>15</v>
      </c>
      <c r="C27" s="67" t="s">
        <v>16</v>
      </c>
      <c r="D27" s="67" t="s">
        <v>28</v>
      </c>
      <c r="E27" s="50">
        <v>111854228</v>
      </c>
      <c r="F27" s="67" t="s">
        <v>29</v>
      </c>
      <c r="G27" s="51">
        <v>7408063</v>
      </c>
      <c r="H27" s="50">
        <v>61827.298495932919</v>
      </c>
      <c r="I27" s="50">
        <v>0</v>
      </c>
      <c r="J27" s="50">
        <v>61827.298495932919</v>
      </c>
      <c r="K27" s="67" t="s">
        <v>19</v>
      </c>
      <c r="L27" s="67" t="s">
        <v>19</v>
      </c>
      <c r="M27" s="67" t="s">
        <v>21</v>
      </c>
      <c r="N27" s="67" t="s">
        <v>30</v>
      </c>
      <c r="O27" s="50">
        <v>10022960</v>
      </c>
    </row>
    <row r="28" spans="1:15" hidden="1" x14ac:dyDescent="0.25">
      <c r="A28" s="66">
        <v>2005</v>
      </c>
      <c r="B28" s="67" t="s">
        <v>15</v>
      </c>
      <c r="C28" s="67" t="s">
        <v>16</v>
      </c>
      <c r="D28" s="67" t="s">
        <v>31</v>
      </c>
      <c r="E28" s="50">
        <v>4334886</v>
      </c>
      <c r="F28" s="67" t="s">
        <v>32</v>
      </c>
      <c r="G28" s="51">
        <v>3759896</v>
      </c>
      <c r="H28" s="50">
        <v>23057.680851896403</v>
      </c>
      <c r="I28" s="50">
        <v>0</v>
      </c>
      <c r="J28" s="50">
        <v>23057.680851896403</v>
      </c>
      <c r="K28" s="67" t="s">
        <v>19</v>
      </c>
      <c r="L28" s="67" t="s">
        <v>19</v>
      </c>
      <c r="M28" s="67" t="s">
        <v>21</v>
      </c>
      <c r="N28" s="67" t="s">
        <v>31</v>
      </c>
      <c r="O28" s="50">
        <v>10022960</v>
      </c>
    </row>
    <row r="29" spans="1:15" hidden="1" x14ac:dyDescent="0.25">
      <c r="A29" s="66">
        <v>2005</v>
      </c>
      <c r="B29" s="67" t="s">
        <v>15</v>
      </c>
      <c r="C29" s="67" t="s">
        <v>16</v>
      </c>
      <c r="D29" s="67" t="s">
        <v>33</v>
      </c>
      <c r="E29" s="50">
        <v>528097</v>
      </c>
      <c r="F29" s="67" t="s">
        <v>24</v>
      </c>
      <c r="G29" s="51">
        <v>949967</v>
      </c>
      <c r="H29" s="50">
        <v>5387.3116782669003</v>
      </c>
      <c r="I29" s="50">
        <v>0</v>
      </c>
      <c r="J29" s="50">
        <v>5387.3116782669003</v>
      </c>
      <c r="K29" s="67" t="s">
        <v>19</v>
      </c>
      <c r="L29" s="67" t="s">
        <v>19</v>
      </c>
      <c r="M29" s="67" t="s">
        <v>21</v>
      </c>
      <c r="N29" s="67" t="s">
        <v>34</v>
      </c>
      <c r="O29" s="50">
        <v>10022960</v>
      </c>
    </row>
    <row r="30" spans="1:15" hidden="1" x14ac:dyDescent="0.25">
      <c r="A30" s="66">
        <v>2005</v>
      </c>
      <c r="B30" s="67" t="s">
        <v>15</v>
      </c>
      <c r="C30" s="67" t="s">
        <v>16</v>
      </c>
      <c r="D30" s="67" t="s">
        <v>37</v>
      </c>
      <c r="E30" s="50">
        <v>2597</v>
      </c>
      <c r="F30" s="67" t="s">
        <v>18</v>
      </c>
      <c r="G30" s="51">
        <v>85915</v>
      </c>
      <c r="H30" s="50">
        <v>0</v>
      </c>
      <c r="I30" s="50">
        <v>0</v>
      </c>
      <c r="J30" s="50">
        <v>0</v>
      </c>
      <c r="K30" s="67" t="s">
        <v>19</v>
      </c>
      <c r="L30" s="67" t="s">
        <v>19</v>
      </c>
      <c r="M30" s="67" t="s">
        <v>21</v>
      </c>
      <c r="N30" s="67" t="s">
        <v>37</v>
      </c>
      <c r="O30" s="50">
        <v>10022960</v>
      </c>
    </row>
    <row r="31" spans="1:15" hidden="1" x14ac:dyDescent="0.25">
      <c r="A31" s="66">
        <v>2005</v>
      </c>
      <c r="B31" s="67" t="s">
        <v>15</v>
      </c>
      <c r="C31" s="67" t="s">
        <v>16</v>
      </c>
      <c r="D31" s="67" t="s">
        <v>35</v>
      </c>
      <c r="E31" s="50">
        <v>67096</v>
      </c>
      <c r="F31" s="67" t="s">
        <v>24</v>
      </c>
      <c r="G31" s="51">
        <v>72322</v>
      </c>
      <c r="H31" s="50">
        <v>388.97087698400003</v>
      </c>
      <c r="I31" s="50">
        <v>0</v>
      </c>
      <c r="J31" s="50">
        <v>388.97087698400003</v>
      </c>
      <c r="K31" s="67" t="s">
        <v>19</v>
      </c>
      <c r="L31" s="67" t="s">
        <v>19</v>
      </c>
      <c r="M31" s="67" t="s">
        <v>21</v>
      </c>
      <c r="N31" s="67" t="s">
        <v>36</v>
      </c>
      <c r="O31" s="50">
        <v>10022960</v>
      </c>
    </row>
    <row r="32" spans="1:15" hidden="1" x14ac:dyDescent="0.25">
      <c r="A32" s="66">
        <v>2006</v>
      </c>
      <c r="B32" s="67" t="s">
        <v>15</v>
      </c>
      <c r="C32" s="67" t="s">
        <v>16</v>
      </c>
      <c r="D32" s="67" t="s">
        <v>38</v>
      </c>
      <c r="E32" s="50">
        <v>7723</v>
      </c>
      <c r="F32" s="67" t="s">
        <v>24</v>
      </c>
      <c r="G32" s="51">
        <v>19391.3999</v>
      </c>
      <c r="H32" s="50">
        <v>0</v>
      </c>
      <c r="I32" s="50">
        <v>0</v>
      </c>
      <c r="J32" s="50">
        <v>0</v>
      </c>
      <c r="K32" s="67" t="s">
        <v>19</v>
      </c>
      <c r="L32" s="67" t="s">
        <v>20</v>
      </c>
      <c r="M32" s="67" t="s">
        <v>25</v>
      </c>
      <c r="N32" s="67" t="s">
        <v>39</v>
      </c>
      <c r="O32" s="50">
        <v>10355328</v>
      </c>
    </row>
    <row r="33" spans="1:15" hidden="1" x14ac:dyDescent="0.25">
      <c r="A33" s="66">
        <v>2006</v>
      </c>
      <c r="B33" s="67" t="s">
        <v>15</v>
      </c>
      <c r="C33" s="67" t="s">
        <v>16</v>
      </c>
      <c r="D33" s="67" t="s">
        <v>17</v>
      </c>
      <c r="E33" s="50">
        <v>31178</v>
      </c>
      <c r="F33" s="67" t="s">
        <v>18</v>
      </c>
      <c r="G33" s="51">
        <v>4163198</v>
      </c>
      <c r="H33" s="50">
        <v>59275.886875169999</v>
      </c>
      <c r="I33" s="50">
        <v>0</v>
      </c>
      <c r="J33" s="50">
        <v>59275.886875169999</v>
      </c>
      <c r="K33" s="67" t="s">
        <v>19</v>
      </c>
      <c r="L33" s="67" t="s">
        <v>19</v>
      </c>
      <c r="M33" s="67" t="s">
        <v>21</v>
      </c>
      <c r="N33" s="67" t="s">
        <v>22</v>
      </c>
      <c r="O33" s="50">
        <v>10355328</v>
      </c>
    </row>
    <row r="34" spans="1:15" hidden="1" x14ac:dyDescent="0.25">
      <c r="A34" s="66">
        <v>2006</v>
      </c>
      <c r="B34" s="67" t="s">
        <v>15</v>
      </c>
      <c r="C34" s="67" t="s">
        <v>16</v>
      </c>
      <c r="D34" s="67" t="s">
        <v>23</v>
      </c>
      <c r="E34" s="50">
        <v>38615</v>
      </c>
      <c r="F34" s="67" t="s">
        <v>24</v>
      </c>
      <c r="G34" s="51">
        <v>94895</v>
      </c>
      <c r="H34" s="50">
        <v>391.87549009150803</v>
      </c>
      <c r="I34" s="50">
        <v>10.494268179277954</v>
      </c>
      <c r="J34" s="50">
        <v>402.36975827078601</v>
      </c>
      <c r="K34" s="67" t="s">
        <v>19</v>
      </c>
      <c r="L34" s="67" t="s">
        <v>19</v>
      </c>
      <c r="M34" s="67" t="s">
        <v>25</v>
      </c>
      <c r="N34" s="67" t="s">
        <v>26</v>
      </c>
      <c r="O34" s="50">
        <v>10355328</v>
      </c>
    </row>
    <row r="35" spans="1:15" hidden="1" x14ac:dyDescent="0.25">
      <c r="A35" s="66">
        <v>2006</v>
      </c>
      <c r="B35" s="67" t="s">
        <v>15</v>
      </c>
      <c r="C35" s="67" t="s">
        <v>16</v>
      </c>
      <c r="D35" s="67" t="s">
        <v>27</v>
      </c>
      <c r="E35" s="50">
        <v>153089</v>
      </c>
      <c r="F35" s="67" t="s">
        <v>24</v>
      </c>
      <c r="G35" s="51">
        <v>367414</v>
      </c>
      <c r="H35" s="50">
        <v>1363.7906546240781</v>
      </c>
      <c r="I35" s="50">
        <v>36.52176579524297</v>
      </c>
      <c r="J35" s="50">
        <v>1400.3124204193211</v>
      </c>
      <c r="K35" s="67" t="s">
        <v>19</v>
      </c>
      <c r="L35" s="67" t="s">
        <v>19</v>
      </c>
      <c r="M35" s="67" t="s">
        <v>25</v>
      </c>
      <c r="N35" s="67" t="s">
        <v>27</v>
      </c>
      <c r="O35" s="50">
        <v>10355328</v>
      </c>
    </row>
    <row r="36" spans="1:15" hidden="1" x14ac:dyDescent="0.25">
      <c r="A36" s="66">
        <v>2006</v>
      </c>
      <c r="B36" s="67" t="s">
        <v>15</v>
      </c>
      <c r="C36" s="67" t="s">
        <v>16</v>
      </c>
      <c r="D36" s="67" t="s">
        <v>28</v>
      </c>
      <c r="E36" s="50">
        <v>114836355</v>
      </c>
      <c r="F36" s="67" t="s">
        <v>29</v>
      </c>
      <c r="G36" s="51">
        <v>7822819</v>
      </c>
      <c r="H36" s="50">
        <v>60000.086503532984</v>
      </c>
      <c r="I36" s="50">
        <v>0</v>
      </c>
      <c r="J36" s="50">
        <v>60000.086503532984</v>
      </c>
      <c r="K36" s="67" t="s">
        <v>19</v>
      </c>
      <c r="L36" s="67" t="s">
        <v>19</v>
      </c>
      <c r="M36" s="67" t="s">
        <v>21</v>
      </c>
      <c r="N36" s="67" t="s">
        <v>30</v>
      </c>
      <c r="O36" s="50">
        <v>10355328</v>
      </c>
    </row>
    <row r="37" spans="1:15" hidden="1" x14ac:dyDescent="0.25">
      <c r="A37" s="66">
        <v>2006</v>
      </c>
      <c r="B37" s="67" t="s">
        <v>15</v>
      </c>
      <c r="C37" s="67" t="s">
        <v>16</v>
      </c>
      <c r="D37" s="67" t="s">
        <v>31</v>
      </c>
      <c r="E37" s="50">
        <v>2904380</v>
      </c>
      <c r="F37" s="67" t="s">
        <v>32</v>
      </c>
      <c r="G37" s="51">
        <v>3710188</v>
      </c>
      <c r="H37" s="50">
        <v>15448.680106612001</v>
      </c>
      <c r="I37" s="50">
        <v>0</v>
      </c>
      <c r="J37" s="50">
        <v>15448.680106612001</v>
      </c>
      <c r="K37" s="67" t="s">
        <v>19</v>
      </c>
      <c r="L37" s="67" t="s">
        <v>19</v>
      </c>
      <c r="M37" s="67" t="s">
        <v>21</v>
      </c>
      <c r="N37" s="67" t="s">
        <v>31</v>
      </c>
      <c r="O37" s="50">
        <v>10355328</v>
      </c>
    </row>
    <row r="38" spans="1:15" hidden="1" x14ac:dyDescent="0.25">
      <c r="A38" s="66">
        <v>2006</v>
      </c>
      <c r="B38" s="67" t="s">
        <v>15</v>
      </c>
      <c r="C38" s="67" t="s">
        <v>16</v>
      </c>
      <c r="D38" s="67" t="s">
        <v>33</v>
      </c>
      <c r="E38" s="50">
        <v>421220</v>
      </c>
      <c r="F38" s="67" t="s">
        <v>24</v>
      </c>
      <c r="G38" s="51">
        <v>704588</v>
      </c>
      <c r="H38" s="50">
        <v>4297.0201025939996</v>
      </c>
      <c r="I38" s="50">
        <v>0</v>
      </c>
      <c r="J38" s="50">
        <v>4297.0201025939996</v>
      </c>
      <c r="K38" s="67" t="s">
        <v>19</v>
      </c>
      <c r="L38" s="67" t="s">
        <v>19</v>
      </c>
      <c r="M38" s="67" t="s">
        <v>21</v>
      </c>
      <c r="N38" s="67" t="s">
        <v>34</v>
      </c>
      <c r="O38" s="50">
        <v>10355328</v>
      </c>
    </row>
    <row r="39" spans="1:15" hidden="1" x14ac:dyDescent="0.25">
      <c r="A39" s="66">
        <v>2006</v>
      </c>
      <c r="B39" s="67" t="s">
        <v>15</v>
      </c>
      <c r="C39" s="67" t="s">
        <v>16</v>
      </c>
      <c r="D39" s="67" t="s">
        <v>37</v>
      </c>
      <c r="E39" s="50">
        <v>5502</v>
      </c>
      <c r="F39" s="67" t="s">
        <v>18</v>
      </c>
      <c r="G39" s="51">
        <v>273339</v>
      </c>
      <c r="H39" s="50">
        <v>0</v>
      </c>
      <c r="I39" s="50">
        <v>0</v>
      </c>
      <c r="J39" s="50">
        <v>0</v>
      </c>
      <c r="K39" s="67" t="s">
        <v>19</v>
      </c>
      <c r="L39" s="67" t="s">
        <v>19</v>
      </c>
      <c r="M39" s="67" t="s">
        <v>21</v>
      </c>
      <c r="N39" s="67" t="s">
        <v>37</v>
      </c>
      <c r="O39" s="50">
        <v>10355328</v>
      </c>
    </row>
    <row r="40" spans="1:15" hidden="1" x14ac:dyDescent="0.25">
      <c r="A40" s="66">
        <v>2006</v>
      </c>
      <c r="B40" s="67" t="s">
        <v>15</v>
      </c>
      <c r="C40" s="67" t="s">
        <v>16</v>
      </c>
      <c r="D40" s="67" t="s">
        <v>35</v>
      </c>
      <c r="E40" s="50">
        <v>56927</v>
      </c>
      <c r="F40" s="67" t="s">
        <v>24</v>
      </c>
      <c r="G40" s="51">
        <v>74517</v>
      </c>
      <c r="H40" s="50">
        <v>330.01885528299999</v>
      </c>
      <c r="I40" s="50">
        <v>0</v>
      </c>
      <c r="J40" s="50">
        <v>330.01885528299999</v>
      </c>
      <c r="K40" s="67" t="s">
        <v>19</v>
      </c>
      <c r="L40" s="67" t="s">
        <v>19</v>
      </c>
      <c r="M40" s="67" t="s">
        <v>21</v>
      </c>
      <c r="N40" s="67" t="s">
        <v>36</v>
      </c>
      <c r="O40" s="50">
        <v>10355328</v>
      </c>
    </row>
    <row r="41" spans="1:15" hidden="1" x14ac:dyDescent="0.25">
      <c r="A41" s="66">
        <v>2007</v>
      </c>
      <c r="B41" s="67" t="s">
        <v>15</v>
      </c>
      <c r="C41" s="67" t="s">
        <v>16</v>
      </c>
      <c r="D41" s="67" t="s">
        <v>38</v>
      </c>
      <c r="E41" s="50">
        <v>8362</v>
      </c>
      <c r="F41" s="67" t="s">
        <v>24</v>
      </c>
      <c r="G41" s="51">
        <v>19215.423299999999</v>
      </c>
      <c r="H41" s="50">
        <v>0</v>
      </c>
      <c r="I41" s="50">
        <v>0</v>
      </c>
      <c r="J41" s="50">
        <v>0</v>
      </c>
      <c r="K41" s="67" t="s">
        <v>19</v>
      </c>
      <c r="L41" s="67" t="s">
        <v>20</v>
      </c>
      <c r="M41" s="67" t="s">
        <v>25</v>
      </c>
      <c r="N41" s="67" t="s">
        <v>39</v>
      </c>
      <c r="O41" s="50">
        <v>10371033</v>
      </c>
    </row>
    <row r="42" spans="1:15" hidden="1" x14ac:dyDescent="0.25">
      <c r="A42" s="66">
        <v>2007</v>
      </c>
      <c r="B42" s="67" t="s">
        <v>15</v>
      </c>
      <c r="C42" s="67" t="s">
        <v>16</v>
      </c>
      <c r="D42" s="67" t="s">
        <v>17</v>
      </c>
      <c r="E42" s="50">
        <v>31831</v>
      </c>
      <c r="F42" s="67" t="s">
        <v>18</v>
      </c>
      <c r="G42" s="51">
        <v>3674464.8689000001</v>
      </c>
      <c r="H42" s="50">
        <v>60517.376198714999</v>
      </c>
      <c r="I42" s="50">
        <v>0</v>
      </c>
      <c r="J42" s="50">
        <v>60517.376198714999</v>
      </c>
      <c r="K42" s="67" t="s">
        <v>19</v>
      </c>
      <c r="L42" s="67" t="s">
        <v>20</v>
      </c>
      <c r="M42" s="67" t="s">
        <v>21</v>
      </c>
      <c r="N42" s="67" t="s">
        <v>22</v>
      </c>
      <c r="O42" s="50">
        <v>10371033</v>
      </c>
    </row>
    <row r="43" spans="1:15" hidden="1" x14ac:dyDescent="0.25">
      <c r="A43" s="66">
        <v>2007</v>
      </c>
      <c r="B43" s="67" t="s">
        <v>15</v>
      </c>
      <c r="C43" s="67" t="s">
        <v>16</v>
      </c>
      <c r="D43" s="67" t="s">
        <v>23</v>
      </c>
      <c r="E43" s="50">
        <v>41810</v>
      </c>
      <c r="F43" s="67" t="s">
        <v>24</v>
      </c>
      <c r="G43" s="51">
        <v>85392.555699999997</v>
      </c>
      <c r="H43" s="50">
        <v>424.29921638549661</v>
      </c>
      <c r="I43" s="50">
        <v>9.975557880801631</v>
      </c>
      <c r="J43" s="50">
        <v>434.27477426629821</v>
      </c>
      <c r="K43" s="67" t="s">
        <v>19</v>
      </c>
      <c r="L43" s="67" t="s">
        <v>20</v>
      </c>
      <c r="M43" s="67" t="s">
        <v>25</v>
      </c>
      <c r="N43" s="67" t="s">
        <v>26</v>
      </c>
      <c r="O43" s="50">
        <v>10371033</v>
      </c>
    </row>
    <row r="44" spans="1:15" hidden="1" x14ac:dyDescent="0.25">
      <c r="A44" s="66">
        <v>2007</v>
      </c>
      <c r="B44" s="67" t="s">
        <v>15</v>
      </c>
      <c r="C44" s="67" t="s">
        <v>16</v>
      </c>
      <c r="D44" s="67" t="s">
        <v>27</v>
      </c>
      <c r="E44" s="50">
        <v>157726</v>
      </c>
      <c r="F44" s="67" t="s">
        <v>24</v>
      </c>
      <c r="G44" s="51">
        <v>393112</v>
      </c>
      <c r="H44" s="50">
        <v>1405.0992872854181</v>
      </c>
      <c r="I44" s="50">
        <v>33.034822425535651</v>
      </c>
      <c r="J44" s="50">
        <v>1438.1341097109537</v>
      </c>
      <c r="K44" s="67" t="s">
        <v>19</v>
      </c>
      <c r="L44" s="67" t="s">
        <v>19</v>
      </c>
      <c r="M44" s="67" t="s">
        <v>25</v>
      </c>
      <c r="N44" s="67" t="s">
        <v>27</v>
      </c>
      <c r="O44" s="50">
        <v>10371033</v>
      </c>
    </row>
    <row r="45" spans="1:15" hidden="1" x14ac:dyDescent="0.25">
      <c r="A45" s="66">
        <v>2007</v>
      </c>
      <c r="B45" s="67" t="s">
        <v>15</v>
      </c>
      <c r="C45" s="67" t="s">
        <v>16</v>
      </c>
      <c r="D45" s="67" t="s">
        <v>28</v>
      </c>
      <c r="E45" s="50">
        <v>109318514</v>
      </c>
      <c r="F45" s="67" t="s">
        <v>29</v>
      </c>
      <c r="G45" s="51">
        <v>10829171.25</v>
      </c>
      <c r="H45" s="50">
        <v>54358.180989538974</v>
      </c>
      <c r="I45" s="50">
        <v>0</v>
      </c>
      <c r="J45" s="50">
        <v>54358.180989538974</v>
      </c>
      <c r="K45" s="67" t="s">
        <v>19</v>
      </c>
      <c r="L45" s="67" t="s">
        <v>19</v>
      </c>
      <c r="M45" s="67" t="s">
        <v>21</v>
      </c>
      <c r="N45" s="67" t="s">
        <v>30</v>
      </c>
      <c r="O45" s="50">
        <v>10371033</v>
      </c>
    </row>
    <row r="46" spans="1:15" hidden="1" x14ac:dyDescent="0.25">
      <c r="A46" s="66">
        <v>2007</v>
      </c>
      <c r="B46" s="67" t="s">
        <v>15</v>
      </c>
      <c r="C46" s="67" t="s">
        <v>16</v>
      </c>
      <c r="D46" s="67" t="s">
        <v>31</v>
      </c>
      <c r="E46" s="50">
        <v>3543141</v>
      </c>
      <c r="F46" s="67" t="s">
        <v>32</v>
      </c>
      <c r="G46" s="51">
        <v>5031260.22</v>
      </c>
      <c r="H46" s="50">
        <v>18846.3120809334</v>
      </c>
      <c r="I46" s="50">
        <v>0</v>
      </c>
      <c r="J46" s="50">
        <v>18846.3120809334</v>
      </c>
      <c r="K46" s="67" t="s">
        <v>19</v>
      </c>
      <c r="L46" s="67" t="s">
        <v>20</v>
      </c>
      <c r="M46" s="67" t="s">
        <v>21</v>
      </c>
      <c r="N46" s="67" t="s">
        <v>31</v>
      </c>
      <c r="O46" s="50">
        <v>10371033</v>
      </c>
    </row>
    <row r="47" spans="1:15" hidden="1" x14ac:dyDescent="0.25">
      <c r="A47" s="66">
        <v>2007</v>
      </c>
      <c r="B47" s="67" t="s">
        <v>15</v>
      </c>
      <c r="C47" s="67" t="s">
        <v>16</v>
      </c>
      <c r="D47" s="67" t="s">
        <v>33</v>
      </c>
      <c r="E47" s="50">
        <v>568638</v>
      </c>
      <c r="F47" s="67" t="s">
        <v>24</v>
      </c>
      <c r="G47" s="51">
        <v>1353358.44</v>
      </c>
      <c r="H47" s="50">
        <v>5800.8853261925997</v>
      </c>
      <c r="I47" s="50">
        <v>0</v>
      </c>
      <c r="J47" s="50">
        <v>5800.8853261925997</v>
      </c>
      <c r="K47" s="67" t="s">
        <v>19</v>
      </c>
      <c r="L47" s="67" t="s">
        <v>20</v>
      </c>
      <c r="M47" s="67" t="s">
        <v>21</v>
      </c>
      <c r="N47" s="67" t="s">
        <v>34</v>
      </c>
      <c r="O47" s="50">
        <v>10371033</v>
      </c>
    </row>
    <row r="48" spans="1:15" hidden="1" x14ac:dyDescent="0.25">
      <c r="A48" s="66">
        <v>2007</v>
      </c>
      <c r="B48" s="67" t="s">
        <v>15</v>
      </c>
      <c r="C48" s="67" t="s">
        <v>16</v>
      </c>
      <c r="D48" s="67" t="s">
        <v>37</v>
      </c>
      <c r="E48" s="50">
        <v>5618</v>
      </c>
      <c r="F48" s="67" t="s">
        <v>18</v>
      </c>
      <c r="G48" s="51">
        <v>279101.87239999999</v>
      </c>
      <c r="H48" s="50">
        <v>0</v>
      </c>
      <c r="I48" s="50">
        <v>0</v>
      </c>
      <c r="J48" s="50">
        <v>0</v>
      </c>
      <c r="K48" s="67" t="s">
        <v>19</v>
      </c>
      <c r="L48" s="67" t="s">
        <v>19</v>
      </c>
      <c r="M48" s="67" t="s">
        <v>21</v>
      </c>
      <c r="N48" s="67" t="s">
        <v>37</v>
      </c>
      <c r="O48" s="50">
        <v>10371033</v>
      </c>
    </row>
    <row r="49" spans="1:15" hidden="1" x14ac:dyDescent="0.25">
      <c r="A49" s="66">
        <v>2007</v>
      </c>
      <c r="B49" s="67" t="s">
        <v>15</v>
      </c>
      <c r="C49" s="67" t="s">
        <v>16</v>
      </c>
      <c r="D49" s="67" t="s">
        <v>35</v>
      </c>
      <c r="E49" s="50">
        <v>49264</v>
      </c>
      <c r="F49" s="67" t="s">
        <v>24</v>
      </c>
      <c r="G49" s="51">
        <v>124656.8183</v>
      </c>
      <c r="H49" s="50">
        <v>285.59468945600003</v>
      </c>
      <c r="I49" s="50">
        <v>0</v>
      </c>
      <c r="J49" s="50">
        <v>285.59468945600003</v>
      </c>
      <c r="K49" s="67" t="s">
        <v>19</v>
      </c>
      <c r="L49" s="67" t="s">
        <v>20</v>
      </c>
      <c r="M49" s="67" t="s">
        <v>21</v>
      </c>
      <c r="N49" s="67" t="s">
        <v>36</v>
      </c>
      <c r="O49" s="50">
        <v>10371033</v>
      </c>
    </row>
    <row r="50" spans="1:15" hidden="1" x14ac:dyDescent="0.25">
      <c r="A50" s="66">
        <v>2008</v>
      </c>
      <c r="B50" s="67" t="s">
        <v>15</v>
      </c>
      <c r="C50" s="67" t="s">
        <v>16</v>
      </c>
      <c r="D50" s="67" t="s">
        <v>38</v>
      </c>
      <c r="E50" s="50">
        <v>8284</v>
      </c>
      <c r="F50" s="67" t="s">
        <v>24</v>
      </c>
      <c r="G50" s="51">
        <v>28235.045999999998</v>
      </c>
      <c r="H50" s="50">
        <v>0</v>
      </c>
      <c r="I50" s="50">
        <v>0</v>
      </c>
      <c r="J50" s="50">
        <v>0</v>
      </c>
      <c r="K50" s="67" t="s">
        <v>19</v>
      </c>
      <c r="L50" s="67" t="s">
        <v>20</v>
      </c>
      <c r="M50" s="67" t="s">
        <v>25</v>
      </c>
      <c r="N50" s="67" t="s">
        <v>39</v>
      </c>
      <c r="O50" s="50">
        <v>10488336</v>
      </c>
    </row>
    <row r="51" spans="1:15" hidden="1" x14ac:dyDescent="0.25">
      <c r="A51" s="66">
        <v>2008</v>
      </c>
      <c r="B51" s="67" t="s">
        <v>15</v>
      </c>
      <c r="C51" s="67" t="s">
        <v>16</v>
      </c>
      <c r="D51" s="67" t="s">
        <v>17</v>
      </c>
      <c r="E51" s="50">
        <v>18088</v>
      </c>
      <c r="F51" s="67" t="s">
        <v>18</v>
      </c>
      <c r="G51" s="51">
        <v>2088018.6155000001</v>
      </c>
      <c r="H51" s="50">
        <v>34389.064141319999</v>
      </c>
      <c r="I51" s="50">
        <v>0</v>
      </c>
      <c r="J51" s="50">
        <v>34389.064141319999</v>
      </c>
      <c r="K51" s="67" t="s">
        <v>19</v>
      </c>
      <c r="L51" s="67" t="s">
        <v>20</v>
      </c>
      <c r="M51" s="67" t="s">
        <v>21</v>
      </c>
      <c r="N51" s="67" t="s">
        <v>22</v>
      </c>
      <c r="O51" s="50">
        <v>10488336</v>
      </c>
    </row>
    <row r="52" spans="1:15" hidden="1" x14ac:dyDescent="0.25">
      <c r="A52" s="66">
        <v>2008</v>
      </c>
      <c r="B52" s="67" t="s">
        <v>15</v>
      </c>
      <c r="C52" s="67" t="s">
        <v>16</v>
      </c>
      <c r="D52" s="67" t="s">
        <v>40</v>
      </c>
      <c r="E52" s="50">
        <v>143351841</v>
      </c>
      <c r="F52" s="67" t="s">
        <v>41</v>
      </c>
      <c r="G52" s="51">
        <v>0</v>
      </c>
      <c r="H52" s="50">
        <v>0</v>
      </c>
      <c r="I52" s="50">
        <v>0</v>
      </c>
      <c r="J52" s="50">
        <v>0</v>
      </c>
      <c r="K52" s="67" t="s">
        <v>20</v>
      </c>
      <c r="L52" s="67" t="s">
        <v>20</v>
      </c>
      <c r="M52" s="67" t="s">
        <v>21</v>
      </c>
      <c r="N52" s="67" t="s">
        <v>40</v>
      </c>
      <c r="O52" s="50">
        <v>10488336</v>
      </c>
    </row>
    <row r="53" spans="1:15" hidden="1" x14ac:dyDescent="0.25">
      <c r="A53" s="66">
        <v>2008</v>
      </c>
      <c r="B53" s="67" t="s">
        <v>15</v>
      </c>
      <c r="C53" s="67" t="s">
        <v>16</v>
      </c>
      <c r="D53" s="67" t="s">
        <v>23</v>
      </c>
      <c r="E53" s="50">
        <v>41420</v>
      </c>
      <c r="F53" s="67" t="s">
        <v>24</v>
      </c>
      <c r="G53" s="51">
        <v>141175.22990000001</v>
      </c>
      <c r="H53" s="50">
        <v>420.34139064069052</v>
      </c>
      <c r="I53" s="50">
        <v>8.9131197424785729</v>
      </c>
      <c r="J53" s="50">
        <v>429.25451038316908</v>
      </c>
      <c r="K53" s="67" t="s">
        <v>19</v>
      </c>
      <c r="L53" s="67" t="s">
        <v>20</v>
      </c>
      <c r="M53" s="67" t="s">
        <v>25</v>
      </c>
      <c r="N53" s="67" t="s">
        <v>26</v>
      </c>
      <c r="O53" s="50">
        <v>10488336</v>
      </c>
    </row>
    <row r="54" spans="1:15" hidden="1" x14ac:dyDescent="0.25">
      <c r="A54" s="66">
        <v>2008</v>
      </c>
      <c r="B54" s="67" t="s">
        <v>15</v>
      </c>
      <c r="C54" s="67" t="s">
        <v>16</v>
      </c>
      <c r="D54" s="67" t="s">
        <v>27</v>
      </c>
      <c r="E54" s="50">
        <v>160388</v>
      </c>
      <c r="F54" s="67" t="s">
        <v>24</v>
      </c>
      <c r="G54" s="51">
        <v>360873</v>
      </c>
      <c r="H54" s="50">
        <v>1428.8136673036381</v>
      </c>
      <c r="I54" s="50">
        <v>30.297247879767703</v>
      </c>
      <c r="J54" s="50">
        <v>1459.1109151834057</v>
      </c>
      <c r="K54" s="67" t="s">
        <v>19</v>
      </c>
      <c r="L54" s="67" t="s">
        <v>19</v>
      </c>
      <c r="M54" s="67" t="s">
        <v>25</v>
      </c>
      <c r="N54" s="67" t="s">
        <v>27</v>
      </c>
      <c r="O54" s="50">
        <v>10488336</v>
      </c>
    </row>
    <row r="55" spans="1:15" hidden="1" x14ac:dyDescent="0.25">
      <c r="A55" s="66">
        <v>2008</v>
      </c>
      <c r="B55" s="67" t="s">
        <v>15</v>
      </c>
      <c r="C55" s="67" t="s">
        <v>16</v>
      </c>
      <c r="D55" s="67" t="s">
        <v>28</v>
      </c>
      <c r="E55" s="50">
        <v>107377255</v>
      </c>
      <c r="F55" s="67" t="s">
        <v>29</v>
      </c>
      <c r="G55" s="51">
        <v>13959043.15</v>
      </c>
      <c r="H55" s="50">
        <v>51873.819926360535</v>
      </c>
      <c r="I55" s="50">
        <v>0</v>
      </c>
      <c r="J55" s="50">
        <v>51873.819926360535</v>
      </c>
      <c r="K55" s="67" t="s">
        <v>19</v>
      </c>
      <c r="L55" s="67" t="s">
        <v>19</v>
      </c>
      <c r="M55" s="67" t="s">
        <v>21</v>
      </c>
      <c r="N55" s="67" t="s">
        <v>30</v>
      </c>
      <c r="O55" s="50">
        <v>10488336</v>
      </c>
    </row>
    <row r="56" spans="1:15" hidden="1" x14ac:dyDescent="0.25">
      <c r="A56" s="66">
        <v>2008</v>
      </c>
      <c r="B56" s="67" t="s">
        <v>15</v>
      </c>
      <c r="C56" s="67" t="s">
        <v>16</v>
      </c>
      <c r="D56" s="67" t="s">
        <v>31</v>
      </c>
      <c r="E56" s="50">
        <v>7561623</v>
      </c>
      <c r="F56" s="67" t="s">
        <v>32</v>
      </c>
      <c r="G56" s="51">
        <v>10737504.66</v>
      </c>
      <c r="H56" s="50">
        <v>40221.009239080202</v>
      </c>
      <c r="I56" s="50">
        <v>0</v>
      </c>
      <c r="J56" s="50">
        <v>40221.009239080202</v>
      </c>
      <c r="K56" s="67" t="s">
        <v>19</v>
      </c>
      <c r="L56" s="67" t="s">
        <v>20</v>
      </c>
      <c r="M56" s="67" t="s">
        <v>21</v>
      </c>
      <c r="N56" s="67" t="s">
        <v>31</v>
      </c>
      <c r="O56" s="50">
        <v>10488336</v>
      </c>
    </row>
    <row r="57" spans="1:15" hidden="1" x14ac:dyDescent="0.25">
      <c r="A57" s="66">
        <v>2008</v>
      </c>
      <c r="B57" s="67" t="s">
        <v>15</v>
      </c>
      <c r="C57" s="67" t="s">
        <v>16</v>
      </c>
      <c r="D57" s="67" t="s">
        <v>33</v>
      </c>
      <c r="E57" s="50">
        <v>207616</v>
      </c>
      <c r="F57" s="67" t="s">
        <v>24</v>
      </c>
      <c r="G57" s="51">
        <v>519040</v>
      </c>
      <c r="H57" s="50">
        <v>2117.9671564032001</v>
      </c>
      <c r="I57" s="50">
        <v>0</v>
      </c>
      <c r="J57" s="50">
        <v>2117.9671564032001</v>
      </c>
      <c r="K57" s="67" t="s">
        <v>19</v>
      </c>
      <c r="L57" s="67" t="s">
        <v>20</v>
      </c>
      <c r="M57" s="67" t="s">
        <v>21</v>
      </c>
      <c r="N57" s="67" t="s">
        <v>34</v>
      </c>
      <c r="O57" s="50">
        <v>10488336</v>
      </c>
    </row>
    <row r="58" spans="1:15" hidden="1" x14ac:dyDescent="0.25">
      <c r="A58" s="66">
        <v>2008</v>
      </c>
      <c r="B58" s="67" t="s">
        <v>15</v>
      </c>
      <c r="C58" s="67" t="s">
        <v>16</v>
      </c>
      <c r="D58" s="67" t="s">
        <v>37</v>
      </c>
      <c r="E58" s="50">
        <v>3193</v>
      </c>
      <c r="F58" s="67" t="s">
        <v>18</v>
      </c>
      <c r="G58" s="51">
        <v>158628.03</v>
      </c>
      <c r="H58" s="50">
        <v>0</v>
      </c>
      <c r="I58" s="50">
        <v>0</v>
      </c>
      <c r="J58" s="50">
        <v>0</v>
      </c>
      <c r="K58" s="67" t="s">
        <v>19</v>
      </c>
      <c r="L58" s="67" t="s">
        <v>20</v>
      </c>
      <c r="M58" s="67" t="s">
        <v>21</v>
      </c>
      <c r="N58" s="67" t="s">
        <v>37</v>
      </c>
      <c r="O58" s="50">
        <v>10488336</v>
      </c>
    </row>
    <row r="59" spans="1:15" hidden="1" x14ac:dyDescent="0.25">
      <c r="A59" s="66">
        <v>2008</v>
      </c>
      <c r="B59" s="67" t="s">
        <v>15</v>
      </c>
      <c r="C59" s="67" t="s">
        <v>16</v>
      </c>
      <c r="D59" s="67" t="s">
        <v>35</v>
      </c>
      <c r="E59" s="50">
        <v>36513</v>
      </c>
      <c r="F59" s="67" t="s">
        <v>24</v>
      </c>
      <c r="G59" s="51">
        <v>101222.5815</v>
      </c>
      <c r="H59" s="50">
        <v>211.674222477</v>
      </c>
      <c r="I59" s="50">
        <v>0</v>
      </c>
      <c r="J59" s="50">
        <v>211.674222477</v>
      </c>
      <c r="K59" s="67" t="s">
        <v>19</v>
      </c>
      <c r="L59" s="67" t="s">
        <v>20</v>
      </c>
      <c r="M59" s="67" t="s">
        <v>21</v>
      </c>
      <c r="N59" s="67" t="s">
        <v>36</v>
      </c>
      <c r="O59" s="50">
        <v>10488336</v>
      </c>
    </row>
    <row r="60" spans="1:15" hidden="1" x14ac:dyDescent="0.25">
      <c r="A60" s="66">
        <v>2008</v>
      </c>
      <c r="B60" s="67" t="s">
        <v>15</v>
      </c>
      <c r="C60" s="67" t="s">
        <v>16</v>
      </c>
      <c r="D60" s="67" t="s">
        <v>42</v>
      </c>
      <c r="E60" s="50">
        <v>16199669</v>
      </c>
      <c r="F60" s="67" t="s">
        <v>29</v>
      </c>
      <c r="G60" s="51">
        <v>0</v>
      </c>
      <c r="H60" s="50">
        <v>0</v>
      </c>
      <c r="I60" s="50">
        <v>0</v>
      </c>
      <c r="J60" s="50">
        <v>0</v>
      </c>
      <c r="K60" s="67" t="s">
        <v>19</v>
      </c>
      <c r="L60" s="67" t="s">
        <v>20</v>
      </c>
      <c r="M60" s="67" t="s">
        <v>21</v>
      </c>
      <c r="N60" s="67" t="s">
        <v>30</v>
      </c>
      <c r="O60" s="50">
        <v>10488336</v>
      </c>
    </row>
    <row r="61" spans="1:15" hidden="1" x14ac:dyDescent="0.25">
      <c r="A61" s="66">
        <v>2009</v>
      </c>
      <c r="B61" s="67" t="s">
        <v>15</v>
      </c>
      <c r="C61" s="67" t="s">
        <v>16</v>
      </c>
      <c r="D61" s="67" t="s">
        <v>38</v>
      </c>
      <c r="E61" s="50">
        <v>8641</v>
      </c>
      <c r="F61" s="67" t="s">
        <v>24</v>
      </c>
      <c r="G61" s="51">
        <v>20079.8063</v>
      </c>
      <c r="H61" s="50">
        <v>0</v>
      </c>
      <c r="I61" s="50">
        <v>0</v>
      </c>
      <c r="J61" s="50">
        <v>0</v>
      </c>
      <c r="K61" s="67" t="s">
        <v>19</v>
      </c>
      <c r="L61" s="67" t="s">
        <v>20</v>
      </c>
      <c r="M61" s="67" t="s">
        <v>25</v>
      </c>
      <c r="N61" s="67" t="s">
        <v>39</v>
      </c>
      <c r="O61" s="50">
        <v>10677667</v>
      </c>
    </row>
    <row r="62" spans="1:15" hidden="1" x14ac:dyDescent="0.25">
      <c r="A62" s="66">
        <v>2009</v>
      </c>
      <c r="B62" s="67" t="s">
        <v>15</v>
      </c>
      <c r="C62" s="67" t="s">
        <v>16</v>
      </c>
      <c r="D62" s="67" t="s">
        <v>17</v>
      </c>
      <c r="E62" s="50">
        <v>929</v>
      </c>
      <c r="F62" s="67" t="s">
        <v>18</v>
      </c>
      <c r="G62" s="51">
        <v>107240.673</v>
      </c>
      <c r="H62" s="50">
        <v>1766.2229426850001</v>
      </c>
      <c r="I62" s="50">
        <v>0</v>
      </c>
      <c r="J62" s="50">
        <v>1766.2229426850001</v>
      </c>
      <c r="K62" s="67" t="s">
        <v>19</v>
      </c>
      <c r="L62" s="67" t="s">
        <v>20</v>
      </c>
      <c r="M62" s="67" t="s">
        <v>21</v>
      </c>
      <c r="N62" s="67" t="s">
        <v>22</v>
      </c>
      <c r="O62" s="50">
        <v>10677667</v>
      </c>
    </row>
    <row r="63" spans="1:15" hidden="1" x14ac:dyDescent="0.25">
      <c r="A63" s="66">
        <v>2009</v>
      </c>
      <c r="B63" s="67" t="s">
        <v>15</v>
      </c>
      <c r="C63" s="67" t="s">
        <v>16</v>
      </c>
      <c r="D63" s="67" t="s">
        <v>40</v>
      </c>
      <c r="E63" s="50">
        <v>606166503</v>
      </c>
      <c r="F63" s="67" t="s">
        <v>41</v>
      </c>
      <c r="G63" s="51">
        <v>0</v>
      </c>
      <c r="H63" s="50">
        <v>0</v>
      </c>
      <c r="I63" s="50">
        <v>0</v>
      </c>
      <c r="J63" s="50">
        <v>0</v>
      </c>
      <c r="K63" s="67" t="s">
        <v>19</v>
      </c>
      <c r="L63" s="67" t="s">
        <v>19</v>
      </c>
      <c r="M63" s="67" t="s">
        <v>21</v>
      </c>
      <c r="N63" s="67" t="s">
        <v>40</v>
      </c>
      <c r="O63" s="50">
        <v>10677667</v>
      </c>
    </row>
    <row r="64" spans="1:15" hidden="1" x14ac:dyDescent="0.25">
      <c r="A64" s="66">
        <v>2009</v>
      </c>
      <c r="B64" s="67" t="s">
        <v>15</v>
      </c>
      <c r="C64" s="67" t="s">
        <v>16</v>
      </c>
      <c r="D64" s="67" t="s">
        <v>23</v>
      </c>
      <c r="E64" s="50">
        <v>43205</v>
      </c>
      <c r="F64" s="67" t="s">
        <v>24</v>
      </c>
      <c r="G64" s="51">
        <v>94702.420199999993</v>
      </c>
      <c r="H64" s="50">
        <v>438.4560546265339</v>
      </c>
      <c r="I64" s="50">
        <v>8.3729622533490051</v>
      </c>
      <c r="J64" s="50">
        <v>446.82901687988289</v>
      </c>
      <c r="K64" s="67" t="s">
        <v>19</v>
      </c>
      <c r="L64" s="67" t="s">
        <v>20</v>
      </c>
      <c r="M64" s="67" t="s">
        <v>25</v>
      </c>
      <c r="N64" s="67" t="s">
        <v>26</v>
      </c>
      <c r="O64" s="50">
        <v>10677667</v>
      </c>
    </row>
    <row r="65" spans="1:15" hidden="1" x14ac:dyDescent="0.25">
      <c r="A65" s="66">
        <v>2009</v>
      </c>
      <c r="B65" s="67" t="s">
        <v>15</v>
      </c>
      <c r="C65" s="67" t="s">
        <v>16</v>
      </c>
      <c r="D65" s="67" t="s">
        <v>27</v>
      </c>
      <c r="E65" s="50">
        <v>162871</v>
      </c>
      <c r="F65" s="67" t="s">
        <v>24</v>
      </c>
      <c r="G65" s="51">
        <v>332591.2648</v>
      </c>
      <c r="H65" s="50">
        <v>1450.9334289810388</v>
      </c>
      <c r="I65" s="50">
        <v>27.707704580173644</v>
      </c>
      <c r="J65" s="50">
        <v>1478.6411335612124</v>
      </c>
      <c r="K65" s="67" t="s">
        <v>19</v>
      </c>
      <c r="L65" s="67" t="s">
        <v>19</v>
      </c>
      <c r="M65" s="67" t="s">
        <v>25</v>
      </c>
      <c r="N65" s="67" t="s">
        <v>27</v>
      </c>
      <c r="O65" s="50">
        <v>10677667</v>
      </c>
    </row>
    <row r="66" spans="1:15" hidden="1" x14ac:dyDescent="0.25">
      <c r="A66" s="66">
        <v>2009</v>
      </c>
      <c r="B66" s="67" t="s">
        <v>15</v>
      </c>
      <c r="C66" s="67" t="s">
        <v>16</v>
      </c>
      <c r="D66" s="67" t="s">
        <v>28</v>
      </c>
      <c r="E66" s="50">
        <v>59464078</v>
      </c>
      <c r="F66" s="67" t="s">
        <v>29</v>
      </c>
      <c r="G66" s="51">
        <v>8746482.9199999999</v>
      </c>
      <c r="H66" s="50">
        <v>26693.063765937331</v>
      </c>
      <c r="I66" s="50">
        <v>0</v>
      </c>
      <c r="J66" s="50">
        <v>26693.063765937331</v>
      </c>
      <c r="K66" s="67" t="s">
        <v>19</v>
      </c>
      <c r="L66" s="67" t="s">
        <v>19</v>
      </c>
      <c r="M66" s="67" t="s">
        <v>21</v>
      </c>
      <c r="N66" s="67" t="s">
        <v>30</v>
      </c>
      <c r="O66" s="50">
        <v>10677667</v>
      </c>
    </row>
    <row r="67" spans="1:15" hidden="1" x14ac:dyDescent="0.25">
      <c r="A67" s="66">
        <v>2009</v>
      </c>
      <c r="B67" s="67" t="s">
        <v>15</v>
      </c>
      <c r="C67" s="67" t="s">
        <v>16</v>
      </c>
      <c r="D67" s="67" t="s">
        <v>31</v>
      </c>
      <c r="E67" s="50">
        <v>12520923</v>
      </c>
      <c r="F67" s="67" t="s">
        <v>32</v>
      </c>
      <c r="G67" s="51">
        <v>16277199.9</v>
      </c>
      <c r="H67" s="50">
        <v>66600.008974900207</v>
      </c>
      <c r="I67" s="50">
        <v>0</v>
      </c>
      <c r="J67" s="50">
        <v>66600.008974900207</v>
      </c>
      <c r="K67" s="67" t="s">
        <v>19</v>
      </c>
      <c r="L67" s="67" t="s">
        <v>20</v>
      </c>
      <c r="M67" s="67" t="s">
        <v>21</v>
      </c>
      <c r="N67" s="67" t="s">
        <v>31</v>
      </c>
      <c r="O67" s="50">
        <v>10677667</v>
      </c>
    </row>
    <row r="68" spans="1:15" hidden="1" x14ac:dyDescent="0.25">
      <c r="A68" s="66">
        <v>2009</v>
      </c>
      <c r="B68" s="67" t="s">
        <v>15</v>
      </c>
      <c r="C68" s="67" t="s">
        <v>16</v>
      </c>
      <c r="D68" s="67" t="s">
        <v>33</v>
      </c>
      <c r="E68" s="50">
        <v>30459.092219233113</v>
      </c>
      <c r="F68" s="67" t="s">
        <v>24</v>
      </c>
      <c r="G68" s="51">
        <v>68246.656000000003</v>
      </c>
      <c r="H68" s="50">
        <v>310.72439953660597</v>
      </c>
      <c r="I68" s="50">
        <v>0</v>
      </c>
      <c r="J68" s="50">
        <v>310.72439953660597</v>
      </c>
      <c r="K68" s="67" t="s">
        <v>20</v>
      </c>
      <c r="L68" s="67" t="s">
        <v>20</v>
      </c>
      <c r="M68" s="67" t="s">
        <v>21</v>
      </c>
      <c r="N68" s="67" t="s">
        <v>34</v>
      </c>
      <c r="O68" s="50">
        <v>10677667</v>
      </c>
    </row>
    <row r="69" spans="1:15" hidden="1" x14ac:dyDescent="0.25">
      <c r="A69" s="66">
        <v>2009</v>
      </c>
      <c r="B69" s="67" t="s">
        <v>15</v>
      </c>
      <c r="C69" s="67" t="s">
        <v>16</v>
      </c>
      <c r="D69" s="67" t="s">
        <v>42</v>
      </c>
      <c r="E69" s="50">
        <v>62562187</v>
      </c>
      <c r="F69" s="67" t="s">
        <v>29</v>
      </c>
      <c r="G69" s="51">
        <v>1876895.78</v>
      </c>
      <c r="H69" s="50">
        <v>0</v>
      </c>
      <c r="I69" s="50">
        <v>0</v>
      </c>
      <c r="J69" s="50">
        <v>0</v>
      </c>
      <c r="K69" s="67" t="s">
        <v>19</v>
      </c>
      <c r="L69" s="67" t="s">
        <v>19</v>
      </c>
      <c r="M69" s="67" t="s">
        <v>21</v>
      </c>
      <c r="N69" s="67" t="s">
        <v>30</v>
      </c>
      <c r="O69" s="50">
        <v>10677667</v>
      </c>
    </row>
    <row r="70" spans="1:15" hidden="1" x14ac:dyDescent="0.25">
      <c r="A70" s="66">
        <v>2009</v>
      </c>
      <c r="B70" s="67" t="s">
        <v>15</v>
      </c>
      <c r="C70" s="67" t="s">
        <v>16</v>
      </c>
      <c r="D70" s="67" t="s">
        <v>35</v>
      </c>
      <c r="E70" s="50">
        <v>53807</v>
      </c>
      <c r="F70" s="67" t="s">
        <v>24</v>
      </c>
      <c r="G70" s="51">
        <v>124323.61659999999</v>
      </c>
      <c r="H70" s="50">
        <v>311.93150080300001</v>
      </c>
      <c r="I70" s="50">
        <v>0</v>
      </c>
      <c r="J70" s="50">
        <v>311.93150080300001</v>
      </c>
      <c r="K70" s="67" t="s">
        <v>19</v>
      </c>
      <c r="L70" s="67" t="s">
        <v>20</v>
      </c>
      <c r="M70" s="67" t="s">
        <v>21</v>
      </c>
      <c r="N70" s="67" t="s">
        <v>36</v>
      </c>
      <c r="O70" s="50">
        <v>10677667</v>
      </c>
    </row>
    <row r="71" spans="1:15" hidden="1" x14ac:dyDescent="0.25">
      <c r="A71" s="66">
        <v>2009</v>
      </c>
      <c r="B71" s="67" t="s">
        <v>15</v>
      </c>
      <c r="C71" s="67" t="s">
        <v>16</v>
      </c>
      <c r="D71" s="67" t="s">
        <v>43</v>
      </c>
      <c r="E71" s="50">
        <v>3137393.2077807668</v>
      </c>
      <c r="F71" s="67" t="s">
        <v>24</v>
      </c>
      <c r="G71" s="51">
        <v>7029644.6639999999</v>
      </c>
      <c r="H71" s="50">
        <v>32005.701732054102</v>
      </c>
      <c r="I71" s="50">
        <v>0</v>
      </c>
      <c r="J71" s="50">
        <v>32005.701732054102</v>
      </c>
      <c r="K71" s="67" t="s">
        <v>19</v>
      </c>
      <c r="L71" s="67" t="s">
        <v>20</v>
      </c>
      <c r="M71" s="67" t="s">
        <v>21</v>
      </c>
      <c r="N71" s="67" t="s">
        <v>34</v>
      </c>
      <c r="O71" s="50">
        <v>10677667</v>
      </c>
    </row>
    <row r="72" spans="1:15" hidden="1" x14ac:dyDescent="0.25">
      <c r="A72" s="66">
        <v>2010</v>
      </c>
      <c r="B72" s="67" t="s">
        <v>15</v>
      </c>
      <c r="C72" s="67" t="s">
        <v>16</v>
      </c>
      <c r="D72" s="67" t="s">
        <v>38</v>
      </c>
      <c r="E72" s="50">
        <v>7000</v>
      </c>
      <c r="F72" s="67" t="s">
        <v>24</v>
      </c>
      <c r="G72" s="51">
        <v>16363.6142</v>
      </c>
      <c r="H72" s="50">
        <v>0</v>
      </c>
      <c r="I72" s="50">
        <v>0</v>
      </c>
      <c r="J72" s="50">
        <v>0</v>
      </c>
      <c r="K72" s="67" t="s">
        <v>19</v>
      </c>
      <c r="L72" s="67" t="s">
        <v>20</v>
      </c>
      <c r="M72" s="67" t="s">
        <v>25</v>
      </c>
      <c r="N72" s="67" t="s">
        <v>39</v>
      </c>
      <c r="O72" s="50">
        <v>10777084</v>
      </c>
    </row>
    <row r="73" spans="1:15" hidden="1" x14ac:dyDescent="0.25">
      <c r="A73" s="66">
        <v>2010</v>
      </c>
      <c r="B73" s="67" t="s">
        <v>15</v>
      </c>
      <c r="C73" s="67" t="s">
        <v>16</v>
      </c>
      <c r="D73" s="67" t="s">
        <v>40</v>
      </c>
      <c r="E73" s="50">
        <v>562164072</v>
      </c>
      <c r="F73" s="67" t="s">
        <v>41</v>
      </c>
      <c r="G73" s="51">
        <v>0</v>
      </c>
      <c r="H73" s="50">
        <v>0</v>
      </c>
      <c r="I73" s="50">
        <v>0</v>
      </c>
      <c r="J73" s="50">
        <v>0</v>
      </c>
      <c r="K73" s="67" t="s">
        <v>19</v>
      </c>
      <c r="L73" s="67" t="s">
        <v>19</v>
      </c>
      <c r="M73" s="67" t="s">
        <v>21</v>
      </c>
      <c r="N73" s="67" t="s">
        <v>40</v>
      </c>
      <c r="O73" s="50">
        <v>10777084</v>
      </c>
    </row>
    <row r="74" spans="1:15" hidden="1" x14ac:dyDescent="0.25">
      <c r="A74" s="66">
        <v>2010</v>
      </c>
      <c r="B74" s="67" t="s">
        <v>15</v>
      </c>
      <c r="C74" s="67" t="s">
        <v>16</v>
      </c>
      <c r="D74" s="67" t="s">
        <v>23</v>
      </c>
      <c r="E74" s="50">
        <v>35000</v>
      </c>
      <c r="F74" s="67" t="s">
        <v>24</v>
      </c>
      <c r="G74" s="51">
        <v>80558.797500000001</v>
      </c>
      <c r="H74" s="50">
        <v>355.18948991849754</v>
      </c>
      <c r="I74" s="50">
        <v>6.782864919967948</v>
      </c>
      <c r="J74" s="50">
        <v>361.97235483846549</v>
      </c>
      <c r="K74" s="67" t="s">
        <v>19</v>
      </c>
      <c r="L74" s="67" t="s">
        <v>20</v>
      </c>
      <c r="M74" s="67" t="s">
        <v>25</v>
      </c>
      <c r="N74" s="67" t="s">
        <v>26</v>
      </c>
      <c r="O74" s="50">
        <v>10777084</v>
      </c>
    </row>
    <row r="75" spans="1:15" hidden="1" x14ac:dyDescent="0.25">
      <c r="A75" s="66">
        <v>2010</v>
      </c>
      <c r="B75" s="67" t="s">
        <v>15</v>
      </c>
      <c r="C75" s="67" t="s">
        <v>16</v>
      </c>
      <c r="D75" s="67" t="s">
        <v>27</v>
      </c>
      <c r="E75" s="50">
        <v>155753</v>
      </c>
      <c r="F75" s="67" t="s">
        <v>24</v>
      </c>
      <c r="G75" s="51">
        <v>343542</v>
      </c>
      <c r="H75" s="50">
        <v>1387.5228516070001</v>
      </c>
      <c r="I75" s="50">
        <v>26.49678648424695</v>
      </c>
      <c r="J75" s="50">
        <v>1414.0196380912471</v>
      </c>
      <c r="K75" s="67" t="s">
        <v>19</v>
      </c>
      <c r="L75" s="67" t="s">
        <v>19</v>
      </c>
      <c r="M75" s="67" t="s">
        <v>25</v>
      </c>
      <c r="N75" s="67" t="s">
        <v>27</v>
      </c>
      <c r="O75" s="50">
        <v>10777084</v>
      </c>
    </row>
    <row r="76" spans="1:15" hidden="1" x14ac:dyDescent="0.25">
      <c r="A76" s="66">
        <v>2010</v>
      </c>
      <c r="B76" s="67" t="s">
        <v>15</v>
      </c>
      <c r="C76" s="67" t="s">
        <v>16</v>
      </c>
      <c r="D76" s="67" t="s">
        <v>28</v>
      </c>
      <c r="E76" s="50">
        <v>42589557</v>
      </c>
      <c r="F76" s="67" t="s">
        <v>29</v>
      </c>
      <c r="G76" s="51">
        <v>6426728</v>
      </c>
      <c r="H76" s="50">
        <v>18548.603209924109</v>
      </c>
      <c r="I76" s="50">
        <v>0</v>
      </c>
      <c r="J76" s="50">
        <v>18548.603209924109</v>
      </c>
      <c r="K76" s="67" t="s">
        <v>19</v>
      </c>
      <c r="L76" s="67" t="s">
        <v>19</v>
      </c>
      <c r="M76" s="67" t="s">
        <v>21</v>
      </c>
      <c r="N76" s="67" t="s">
        <v>30</v>
      </c>
      <c r="O76" s="50">
        <v>10777084</v>
      </c>
    </row>
    <row r="77" spans="1:15" hidden="1" x14ac:dyDescent="0.25">
      <c r="A77" s="66">
        <v>2010</v>
      </c>
      <c r="B77" s="67" t="s">
        <v>15</v>
      </c>
      <c r="C77" s="67" t="s">
        <v>16</v>
      </c>
      <c r="D77" s="67" t="s">
        <v>31</v>
      </c>
      <c r="E77" s="50">
        <v>13357108</v>
      </c>
      <c r="F77" s="67" t="s">
        <v>32</v>
      </c>
      <c r="G77" s="51">
        <v>17122496</v>
      </c>
      <c r="H77" s="50">
        <v>71047.758434319199</v>
      </c>
      <c r="I77" s="50">
        <v>0</v>
      </c>
      <c r="J77" s="50">
        <v>71047.758434319199</v>
      </c>
      <c r="K77" s="67" t="s">
        <v>19</v>
      </c>
      <c r="L77" s="67" t="s">
        <v>19</v>
      </c>
      <c r="M77" s="67" t="s">
        <v>21</v>
      </c>
      <c r="N77" s="67" t="s">
        <v>31</v>
      </c>
      <c r="O77" s="50">
        <v>10777084</v>
      </c>
    </row>
    <row r="78" spans="1:15" hidden="1" x14ac:dyDescent="0.25">
      <c r="A78" s="66">
        <v>2010</v>
      </c>
      <c r="B78" s="67" t="s">
        <v>15</v>
      </c>
      <c r="C78" s="67" t="s">
        <v>16</v>
      </c>
      <c r="D78" s="67" t="s">
        <v>33</v>
      </c>
      <c r="E78" s="50">
        <v>22246</v>
      </c>
      <c r="F78" s="67" t="s">
        <v>24</v>
      </c>
      <c r="G78" s="51">
        <v>52231.289799999999</v>
      </c>
      <c r="H78" s="50">
        <v>226.93962585419999</v>
      </c>
      <c r="I78" s="50">
        <v>0</v>
      </c>
      <c r="J78" s="50">
        <v>226.93962585419999</v>
      </c>
      <c r="K78" s="67" t="s">
        <v>19</v>
      </c>
      <c r="L78" s="67" t="s">
        <v>20</v>
      </c>
      <c r="M78" s="67" t="s">
        <v>21</v>
      </c>
      <c r="N78" s="67" t="s">
        <v>34</v>
      </c>
      <c r="O78" s="50">
        <v>10777084</v>
      </c>
    </row>
    <row r="79" spans="1:15" hidden="1" x14ac:dyDescent="0.25">
      <c r="A79" s="66">
        <v>2010</v>
      </c>
      <c r="B79" s="67" t="s">
        <v>15</v>
      </c>
      <c r="C79" s="67" t="s">
        <v>16</v>
      </c>
      <c r="D79" s="67" t="s">
        <v>42</v>
      </c>
      <c r="E79" s="50">
        <v>82065686</v>
      </c>
      <c r="F79" s="67" t="s">
        <v>29</v>
      </c>
      <c r="G79" s="51">
        <v>3655295.1</v>
      </c>
      <c r="H79" s="50">
        <v>0</v>
      </c>
      <c r="I79" s="50">
        <v>0</v>
      </c>
      <c r="J79" s="50">
        <v>0</v>
      </c>
      <c r="K79" s="67" t="s">
        <v>19</v>
      </c>
      <c r="L79" s="67" t="s">
        <v>19</v>
      </c>
      <c r="M79" s="67" t="s">
        <v>21</v>
      </c>
      <c r="N79" s="67" t="s">
        <v>30</v>
      </c>
      <c r="O79" s="50">
        <v>10777084</v>
      </c>
    </row>
    <row r="80" spans="1:15" hidden="1" x14ac:dyDescent="0.25">
      <c r="A80" s="66">
        <v>2010</v>
      </c>
      <c r="B80" s="67" t="s">
        <v>15</v>
      </c>
      <c r="C80" s="67" t="s">
        <v>16</v>
      </c>
      <c r="D80" s="67" t="s">
        <v>35</v>
      </c>
      <c r="E80" s="50">
        <v>40123</v>
      </c>
      <c r="F80" s="67" t="s">
        <v>24</v>
      </c>
      <c r="G80" s="51">
        <v>52746</v>
      </c>
      <c r="H80" s="50">
        <v>232.60221916700002</v>
      </c>
      <c r="I80" s="50">
        <v>0</v>
      </c>
      <c r="J80" s="50">
        <v>232.60221916700002</v>
      </c>
      <c r="K80" s="67" t="s">
        <v>19</v>
      </c>
      <c r="L80" s="67" t="s">
        <v>19</v>
      </c>
      <c r="M80" s="67" t="s">
        <v>21</v>
      </c>
      <c r="N80" s="67" t="s">
        <v>36</v>
      </c>
      <c r="O80" s="50">
        <v>10777084</v>
      </c>
    </row>
    <row r="81" spans="1:15" hidden="1" x14ac:dyDescent="0.25">
      <c r="A81" s="66">
        <v>2010</v>
      </c>
      <c r="B81" s="67" t="s">
        <v>15</v>
      </c>
      <c r="C81" s="67" t="s">
        <v>16</v>
      </c>
      <c r="D81" s="67" t="s">
        <v>43</v>
      </c>
      <c r="E81" s="50">
        <v>2585006</v>
      </c>
      <c r="F81" s="67" t="s">
        <v>24</v>
      </c>
      <c r="G81" s="51">
        <v>6069324.7101999996</v>
      </c>
      <c r="H81" s="50">
        <v>26370.596712706199</v>
      </c>
      <c r="I81" s="50">
        <v>0</v>
      </c>
      <c r="J81" s="50">
        <v>26370.596712706199</v>
      </c>
      <c r="K81" s="67" t="s">
        <v>19</v>
      </c>
      <c r="L81" s="67" t="s">
        <v>20</v>
      </c>
      <c r="M81" s="67" t="s">
        <v>21</v>
      </c>
      <c r="N81" s="67" t="s">
        <v>34</v>
      </c>
      <c r="O81" s="50">
        <v>10777084</v>
      </c>
    </row>
    <row r="82" spans="1:15" hidden="1" x14ac:dyDescent="0.25">
      <c r="A82" s="66">
        <v>2011</v>
      </c>
      <c r="B82" s="67" t="s">
        <v>15</v>
      </c>
      <c r="C82" s="67" t="s">
        <v>16</v>
      </c>
      <c r="D82" s="67" t="s">
        <v>38</v>
      </c>
      <c r="E82" s="50">
        <v>8231.7999999999993</v>
      </c>
      <c r="F82" s="67" t="s">
        <v>24</v>
      </c>
      <c r="G82" s="51">
        <v>22495.644199999999</v>
      </c>
      <c r="H82" s="50">
        <v>0</v>
      </c>
      <c r="I82" s="50">
        <v>0</v>
      </c>
      <c r="J82" s="50">
        <v>0</v>
      </c>
      <c r="K82" s="67" t="s">
        <v>19</v>
      </c>
      <c r="L82" s="67" t="s">
        <v>20</v>
      </c>
      <c r="M82" s="67" t="s">
        <v>25</v>
      </c>
      <c r="N82" s="67" t="s">
        <v>39</v>
      </c>
      <c r="O82" s="50">
        <v>10831867</v>
      </c>
    </row>
    <row r="83" spans="1:15" hidden="1" x14ac:dyDescent="0.25">
      <c r="A83" s="66">
        <v>2011</v>
      </c>
      <c r="B83" s="67" t="s">
        <v>15</v>
      </c>
      <c r="C83" s="67" t="s">
        <v>16</v>
      </c>
      <c r="D83" s="67" t="s">
        <v>40</v>
      </c>
      <c r="E83" s="50">
        <v>676556684</v>
      </c>
      <c r="F83" s="67" t="s">
        <v>41</v>
      </c>
      <c r="G83" s="51">
        <v>0</v>
      </c>
      <c r="H83" s="50">
        <v>0</v>
      </c>
      <c r="I83" s="50">
        <v>0</v>
      </c>
      <c r="J83" s="50">
        <v>0</v>
      </c>
      <c r="K83" s="67" t="s">
        <v>19</v>
      </c>
      <c r="L83" s="67" t="s">
        <v>19</v>
      </c>
      <c r="M83" s="67" t="s">
        <v>21</v>
      </c>
      <c r="N83" s="67" t="s">
        <v>40</v>
      </c>
      <c r="O83" s="50">
        <v>10831867</v>
      </c>
    </row>
    <row r="84" spans="1:15" hidden="1" x14ac:dyDescent="0.25">
      <c r="A84" s="66">
        <v>2011</v>
      </c>
      <c r="B84" s="67" t="s">
        <v>15</v>
      </c>
      <c r="C84" s="67" t="s">
        <v>16</v>
      </c>
      <c r="D84" s="67" t="s">
        <v>23</v>
      </c>
      <c r="E84" s="50">
        <v>41158.999999999993</v>
      </c>
      <c r="F84" s="67" t="s">
        <v>24</v>
      </c>
      <c r="G84" s="51">
        <v>115099.1228</v>
      </c>
      <c r="H84" s="50">
        <v>417.69269187301251</v>
      </c>
      <c r="I84" s="50">
        <v>7.9764553497417356</v>
      </c>
      <c r="J84" s="50">
        <v>425.66914722275425</v>
      </c>
      <c r="K84" s="67" t="s">
        <v>19</v>
      </c>
      <c r="L84" s="67" t="s">
        <v>20</v>
      </c>
      <c r="M84" s="67" t="s">
        <v>25</v>
      </c>
      <c r="N84" s="67" t="s">
        <v>26</v>
      </c>
      <c r="O84" s="50">
        <v>10831867</v>
      </c>
    </row>
    <row r="85" spans="1:15" hidden="1" x14ac:dyDescent="0.25">
      <c r="A85" s="66">
        <v>2011</v>
      </c>
      <c r="B85" s="67" t="s">
        <v>15</v>
      </c>
      <c r="C85" s="67" t="s">
        <v>16</v>
      </c>
      <c r="D85" s="67" t="s">
        <v>27</v>
      </c>
      <c r="E85" s="50">
        <v>157831</v>
      </c>
      <c r="F85" s="67" t="s">
        <v>24</v>
      </c>
      <c r="G85" s="51">
        <v>476897.00809999998</v>
      </c>
      <c r="H85" s="50">
        <v>1406.0346779322674</v>
      </c>
      <c r="I85" s="50">
        <v>26.850296993285397</v>
      </c>
      <c r="J85" s="50">
        <v>1432.8849749255528</v>
      </c>
      <c r="K85" s="67" t="s">
        <v>19</v>
      </c>
      <c r="L85" s="67" t="s">
        <v>19</v>
      </c>
      <c r="M85" s="67" t="s">
        <v>25</v>
      </c>
      <c r="N85" s="67" t="s">
        <v>27</v>
      </c>
      <c r="O85" s="50">
        <v>10831867</v>
      </c>
    </row>
    <row r="86" spans="1:15" hidden="1" x14ac:dyDescent="0.25">
      <c r="A86" s="66">
        <v>2011</v>
      </c>
      <c r="B86" s="67" t="s">
        <v>15</v>
      </c>
      <c r="C86" s="67" t="s">
        <v>16</v>
      </c>
      <c r="D86" s="67" t="s">
        <v>28</v>
      </c>
      <c r="E86" s="50">
        <v>38671377</v>
      </c>
      <c r="F86" s="67" t="s">
        <v>29</v>
      </c>
      <c r="G86" s="51">
        <v>5933203</v>
      </c>
      <c r="H86" s="50">
        <v>15761.794362943459</v>
      </c>
      <c r="I86" s="50">
        <v>0</v>
      </c>
      <c r="J86" s="50">
        <v>15761.794362943459</v>
      </c>
      <c r="K86" s="67" t="s">
        <v>19</v>
      </c>
      <c r="L86" s="67" t="s">
        <v>19</v>
      </c>
      <c r="M86" s="67" t="s">
        <v>21</v>
      </c>
      <c r="N86" s="67" t="s">
        <v>30</v>
      </c>
      <c r="O86" s="50">
        <v>10831867</v>
      </c>
    </row>
    <row r="87" spans="1:15" hidden="1" x14ac:dyDescent="0.25">
      <c r="A87" s="66">
        <v>2011</v>
      </c>
      <c r="B87" s="67" t="s">
        <v>15</v>
      </c>
      <c r="C87" s="67" t="s">
        <v>16</v>
      </c>
      <c r="D87" s="67" t="s">
        <v>31</v>
      </c>
      <c r="E87" s="50">
        <v>14284953</v>
      </c>
      <c r="F87" s="67" t="s">
        <v>32</v>
      </c>
      <c r="G87" s="51">
        <v>16772730</v>
      </c>
      <c r="H87" s="50">
        <v>75983.056361422205</v>
      </c>
      <c r="I87" s="50">
        <v>0</v>
      </c>
      <c r="J87" s="50">
        <v>75983.056361422205</v>
      </c>
      <c r="K87" s="67" t="s">
        <v>19</v>
      </c>
      <c r="L87" s="67" t="s">
        <v>19</v>
      </c>
      <c r="M87" s="67" t="s">
        <v>21</v>
      </c>
      <c r="N87" s="67" t="s">
        <v>31</v>
      </c>
      <c r="O87" s="50">
        <v>10831867</v>
      </c>
    </row>
    <row r="88" spans="1:15" hidden="1" x14ac:dyDescent="0.25">
      <c r="A88" s="66">
        <v>2011</v>
      </c>
      <c r="B88" s="67" t="s">
        <v>15</v>
      </c>
      <c r="C88" s="67" t="s">
        <v>16</v>
      </c>
      <c r="D88" s="67" t="s">
        <v>33</v>
      </c>
      <c r="E88" s="50">
        <v>21182</v>
      </c>
      <c r="F88" s="67" t="s">
        <v>24</v>
      </c>
      <c r="G88" s="51">
        <v>46489.138700000003</v>
      </c>
      <c r="H88" s="50">
        <v>216.08537062139999</v>
      </c>
      <c r="I88" s="50">
        <v>0</v>
      </c>
      <c r="J88" s="50">
        <v>216.08537062139999</v>
      </c>
      <c r="K88" s="67" t="s">
        <v>19</v>
      </c>
      <c r="L88" s="67" t="s">
        <v>20</v>
      </c>
      <c r="M88" s="67" t="s">
        <v>21</v>
      </c>
      <c r="N88" s="67" t="s">
        <v>34</v>
      </c>
      <c r="O88" s="50">
        <v>10831867</v>
      </c>
    </row>
    <row r="89" spans="1:15" hidden="1" x14ac:dyDescent="0.25">
      <c r="A89" s="66">
        <v>2011</v>
      </c>
      <c r="B89" s="67" t="s">
        <v>15</v>
      </c>
      <c r="C89" s="67" t="s">
        <v>16</v>
      </c>
      <c r="D89" s="67" t="s">
        <v>42</v>
      </c>
      <c r="E89" s="50">
        <v>92677461</v>
      </c>
      <c r="F89" s="67" t="s">
        <v>29</v>
      </c>
      <c r="G89" s="51">
        <v>4157827.01</v>
      </c>
      <c r="H89" s="50">
        <v>0</v>
      </c>
      <c r="I89" s="50">
        <v>0</v>
      </c>
      <c r="J89" s="50">
        <v>0</v>
      </c>
      <c r="K89" s="67" t="s">
        <v>19</v>
      </c>
      <c r="L89" s="67" t="s">
        <v>19</v>
      </c>
      <c r="M89" s="67" t="s">
        <v>21</v>
      </c>
      <c r="N89" s="67" t="s">
        <v>30</v>
      </c>
      <c r="O89" s="50">
        <v>10831867</v>
      </c>
    </row>
    <row r="90" spans="1:15" hidden="1" x14ac:dyDescent="0.25">
      <c r="A90" s="66">
        <v>2011</v>
      </c>
      <c r="B90" s="67" t="s">
        <v>15</v>
      </c>
      <c r="C90" s="67" t="s">
        <v>16</v>
      </c>
      <c r="D90" s="67" t="s">
        <v>44</v>
      </c>
      <c r="E90" s="50">
        <v>9906</v>
      </c>
      <c r="F90" s="67" t="s">
        <v>29</v>
      </c>
      <c r="G90" s="51">
        <v>0</v>
      </c>
      <c r="H90" s="50">
        <v>0</v>
      </c>
      <c r="I90" s="50">
        <v>0</v>
      </c>
      <c r="J90" s="50">
        <v>0</v>
      </c>
      <c r="K90" s="67" t="s">
        <v>19</v>
      </c>
      <c r="L90" s="67" t="s">
        <v>19</v>
      </c>
      <c r="M90" s="67" t="s">
        <v>21</v>
      </c>
      <c r="N90" s="67" t="s">
        <v>30</v>
      </c>
      <c r="O90" s="50">
        <v>10831867</v>
      </c>
    </row>
    <row r="91" spans="1:15" hidden="1" x14ac:dyDescent="0.25">
      <c r="A91" s="66">
        <v>2011</v>
      </c>
      <c r="B91" s="67" t="s">
        <v>15</v>
      </c>
      <c r="C91" s="67" t="s">
        <v>16</v>
      </c>
      <c r="D91" s="67" t="s">
        <v>35</v>
      </c>
      <c r="E91" s="50">
        <v>41092</v>
      </c>
      <c r="F91" s="67" t="s">
        <v>24</v>
      </c>
      <c r="G91" s="51">
        <v>77941</v>
      </c>
      <c r="H91" s="50">
        <v>238.21973406800001</v>
      </c>
      <c r="I91" s="50">
        <v>0</v>
      </c>
      <c r="J91" s="50">
        <v>238.21973406800001</v>
      </c>
      <c r="K91" s="67" t="s">
        <v>19</v>
      </c>
      <c r="L91" s="67" t="s">
        <v>19</v>
      </c>
      <c r="M91" s="67" t="s">
        <v>21</v>
      </c>
      <c r="N91" s="67" t="s">
        <v>36</v>
      </c>
      <c r="O91" s="50">
        <v>10831867</v>
      </c>
    </row>
    <row r="92" spans="1:15" hidden="1" x14ac:dyDescent="0.25">
      <c r="A92" s="66">
        <v>2011</v>
      </c>
      <c r="B92" s="67" t="s">
        <v>15</v>
      </c>
      <c r="C92" s="67" t="s">
        <v>16</v>
      </c>
      <c r="D92" s="67" t="s">
        <v>43</v>
      </c>
      <c r="E92" s="50">
        <v>3095615</v>
      </c>
      <c r="F92" s="67" t="s">
        <v>24</v>
      </c>
      <c r="G92" s="51">
        <v>6794092.8613</v>
      </c>
      <c r="H92" s="50">
        <v>31579.506872635498</v>
      </c>
      <c r="I92" s="50">
        <v>0</v>
      </c>
      <c r="J92" s="50">
        <v>31579.506872635498</v>
      </c>
      <c r="K92" s="67" t="s">
        <v>19</v>
      </c>
      <c r="L92" s="67" t="s">
        <v>20</v>
      </c>
      <c r="M92" s="67" t="s">
        <v>21</v>
      </c>
      <c r="N92" s="67" t="s">
        <v>34</v>
      </c>
      <c r="O92" s="50">
        <v>10831867</v>
      </c>
    </row>
    <row r="93" spans="1:15" hidden="1" x14ac:dyDescent="0.25">
      <c r="A93" s="66">
        <v>2012</v>
      </c>
      <c r="B93" s="67" t="s">
        <v>15</v>
      </c>
      <c r="C93" s="67" t="s">
        <v>16</v>
      </c>
      <c r="D93" s="67" t="s">
        <v>45</v>
      </c>
      <c r="E93" s="50">
        <v>138177000</v>
      </c>
      <c r="F93" s="67" t="s">
        <v>46</v>
      </c>
      <c r="G93" s="51">
        <v>-2246356.29</v>
      </c>
      <c r="H93" s="50">
        <v>0</v>
      </c>
      <c r="I93" s="50">
        <v>0</v>
      </c>
      <c r="J93" s="50">
        <v>0</v>
      </c>
      <c r="K93" s="67" t="s">
        <v>47</v>
      </c>
      <c r="L93" s="67" t="s">
        <v>47</v>
      </c>
      <c r="M93" s="67" t="s">
        <v>21</v>
      </c>
      <c r="N93" s="67" t="s">
        <v>48</v>
      </c>
      <c r="O93" s="50">
        <v>11279169</v>
      </c>
    </row>
    <row r="94" spans="1:15" hidden="1" x14ac:dyDescent="0.25">
      <c r="A94" s="66">
        <v>2012</v>
      </c>
      <c r="B94" s="67" t="s">
        <v>15</v>
      </c>
      <c r="C94" s="67" t="s">
        <v>16</v>
      </c>
      <c r="D94" s="67" t="s">
        <v>38</v>
      </c>
      <c r="E94" s="50">
        <v>9099.6</v>
      </c>
      <c r="F94" s="67" t="s">
        <v>24</v>
      </c>
      <c r="G94" s="51">
        <v>28539.895100000002</v>
      </c>
      <c r="H94" s="50">
        <v>0</v>
      </c>
      <c r="I94" s="50">
        <v>0</v>
      </c>
      <c r="J94" s="50">
        <v>0</v>
      </c>
      <c r="K94" s="67" t="s">
        <v>19</v>
      </c>
      <c r="L94" s="67" t="s">
        <v>20</v>
      </c>
      <c r="M94" s="67" t="s">
        <v>25</v>
      </c>
      <c r="N94" s="67" t="s">
        <v>39</v>
      </c>
      <c r="O94" s="50">
        <v>11279169</v>
      </c>
    </row>
    <row r="95" spans="1:15" hidden="1" x14ac:dyDescent="0.25">
      <c r="A95" s="66">
        <v>2012</v>
      </c>
      <c r="B95" s="67" t="s">
        <v>15</v>
      </c>
      <c r="C95" s="67" t="s">
        <v>16</v>
      </c>
      <c r="D95" s="67" t="s">
        <v>40</v>
      </c>
      <c r="E95" s="50">
        <v>596827928</v>
      </c>
      <c r="F95" s="67" t="s">
        <v>41</v>
      </c>
      <c r="G95" s="51">
        <v>0</v>
      </c>
      <c r="H95" s="50">
        <v>0</v>
      </c>
      <c r="I95" s="50">
        <v>0</v>
      </c>
      <c r="J95" s="50">
        <v>0</v>
      </c>
      <c r="K95" s="67" t="s">
        <v>19</v>
      </c>
      <c r="L95" s="67" t="s">
        <v>19</v>
      </c>
      <c r="M95" s="67" t="s">
        <v>21</v>
      </c>
      <c r="N95" s="67" t="s">
        <v>40</v>
      </c>
      <c r="O95" s="50">
        <v>11279169</v>
      </c>
    </row>
    <row r="96" spans="1:15" hidden="1" x14ac:dyDescent="0.25">
      <c r="A96" s="66">
        <v>2012</v>
      </c>
      <c r="B96" s="67" t="s">
        <v>15</v>
      </c>
      <c r="C96" s="67" t="s">
        <v>16</v>
      </c>
      <c r="D96" s="67" t="s">
        <v>23</v>
      </c>
      <c r="E96" s="50">
        <v>45498</v>
      </c>
      <c r="F96" s="67" t="s">
        <v>24</v>
      </c>
      <c r="G96" s="51">
        <v>145065.27480000001</v>
      </c>
      <c r="H96" s="50">
        <v>461.72604035176573</v>
      </c>
      <c r="I96" s="50">
        <v>8.8173368036771915</v>
      </c>
      <c r="J96" s="50">
        <v>470.5433771554429</v>
      </c>
      <c r="K96" s="67" t="s">
        <v>19</v>
      </c>
      <c r="L96" s="67" t="s">
        <v>20</v>
      </c>
      <c r="M96" s="67" t="s">
        <v>25</v>
      </c>
      <c r="N96" s="67" t="s">
        <v>26</v>
      </c>
      <c r="O96" s="50">
        <v>11279169</v>
      </c>
    </row>
    <row r="97" spans="1:15" hidden="1" x14ac:dyDescent="0.25">
      <c r="A97" s="66">
        <v>2012</v>
      </c>
      <c r="B97" s="67" t="s">
        <v>15</v>
      </c>
      <c r="C97" s="67" t="s">
        <v>16</v>
      </c>
      <c r="D97" s="67" t="s">
        <v>27</v>
      </c>
      <c r="E97" s="50">
        <v>150165</v>
      </c>
      <c r="F97" s="67" t="s">
        <v>24</v>
      </c>
      <c r="G97" s="51">
        <v>525577.5</v>
      </c>
      <c r="H97" s="50">
        <v>1337.74225222991</v>
      </c>
      <c r="I97" s="50">
        <v>25.546152834339907</v>
      </c>
      <c r="J97" s="50">
        <v>1363.2884050642499</v>
      </c>
      <c r="K97" s="67" t="s">
        <v>19</v>
      </c>
      <c r="L97" s="67" t="s">
        <v>19</v>
      </c>
      <c r="M97" s="67" t="s">
        <v>25</v>
      </c>
      <c r="N97" s="67" t="s">
        <v>27</v>
      </c>
      <c r="O97" s="50">
        <v>11279169</v>
      </c>
    </row>
    <row r="98" spans="1:15" hidden="1" x14ac:dyDescent="0.25">
      <c r="A98" s="66">
        <v>2012</v>
      </c>
      <c r="B98" s="67" t="s">
        <v>15</v>
      </c>
      <c r="C98" s="67" t="s">
        <v>16</v>
      </c>
      <c r="D98" s="67" t="s">
        <v>28</v>
      </c>
      <c r="E98" s="50">
        <v>43527184</v>
      </c>
      <c r="F98" s="67" t="s">
        <v>29</v>
      </c>
      <c r="G98" s="51">
        <v>6137880</v>
      </c>
      <c r="H98" s="50">
        <v>17740.938560475948</v>
      </c>
      <c r="I98" s="50">
        <v>0</v>
      </c>
      <c r="J98" s="50">
        <v>17740.938560475948</v>
      </c>
      <c r="K98" s="67" t="s">
        <v>19</v>
      </c>
      <c r="L98" s="67" t="s">
        <v>19</v>
      </c>
      <c r="M98" s="67" t="s">
        <v>21</v>
      </c>
      <c r="N98" s="67" t="s">
        <v>30</v>
      </c>
      <c r="O98" s="50">
        <v>11279169</v>
      </c>
    </row>
    <row r="99" spans="1:15" hidden="1" x14ac:dyDescent="0.25">
      <c r="A99" s="66">
        <v>2012</v>
      </c>
      <c r="B99" s="67" t="s">
        <v>15</v>
      </c>
      <c r="C99" s="67" t="s">
        <v>16</v>
      </c>
      <c r="D99" s="67" t="s">
        <v>31</v>
      </c>
      <c r="E99" s="50">
        <v>15152031</v>
      </c>
      <c r="F99" s="67" t="s">
        <v>32</v>
      </c>
      <c r="G99" s="51">
        <v>14635541</v>
      </c>
      <c r="H99" s="50">
        <v>80595.128696819404</v>
      </c>
      <c r="I99" s="50">
        <v>0</v>
      </c>
      <c r="J99" s="50">
        <v>80595.128696819404</v>
      </c>
      <c r="K99" s="67" t="s">
        <v>49</v>
      </c>
      <c r="L99" s="67" t="s">
        <v>49</v>
      </c>
      <c r="M99" s="67" t="s">
        <v>21</v>
      </c>
      <c r="N99" s="67" t="s">
        <v>31</v>
      </c>
      <c r="O99" s="50">
        <v>11279169</v>
      </c>
    </row>
    <row r="100" spans="1:15" hidden="1" x14ac:dyDescent="0.25">
      <c r="A100" s="66">
        <v>2012</v>
      </c>
      <c r="B100" s="67" t="s">
        <v>15</v>
      </c>
      <c r="C100" s="67" t="s">
        <v>16</v>
      </c>
      <c r="D100" s="67" t="s">
        <v>33</v>
      </c>
      <c r="E100" s="50">
        <v>23365</v>
      </c>
      <c r="F100" s="67" t="s">
        <v>24</v>
      </c>
      <c r="G100" s="51">
        <v>95089.951000000001</v>
      </c>
      <c r="H100" s="50">
        <v>238.3549563105</v>
      </c>
      <c r="I100" s="50">
        <v>0</v>
      </c>
      <c r="J100" s="50">
        <v>238.3549563105</v>
      </c>
      <c r="K100" s="67" t="s">
        <v>19</v>
      </c>
      <c r="L100" s="67" t="s">
        <v>20</v>
      </c>
      <c r="M100" s="67" t="s">
        <v>21</v>
      </c>
      <c r="N100" s="67" t="s">
        <v>34</v>
      </c>
      <c r="O100" s="50">
        <v>11279169</v>
      </c>
    </row>
    <row r="101" spans="1:15" hidden="1" x14ac:dyDescent="0.25">
      <c r="A101" s="66">
        <v>2012</v>
      </c>
      <c r="B101" s="67" t="s">
        <v>15</v>
      </c>
      <c r="C101" s="67" t="s">
        <v>16</v>
      </c>
      <c r="D101" s="67" t="s">
        <v>42</v>
      </c>
      <c r="E101" s="50">
        <v>91438102</v>
      </c>
      <c r="F101" s="67" t="s">
        <v>29</v>
      </c>
      <c r="G101" s="51">
        <v>4114715</v>
      </c>
      <c r="H101" s="50">
        <v>0</v>
      </c>
      <c r="I101" s="50">
        <v>0</v>
      </c>
      <c r="J101" s="50">
        <v>0</v>
      </c>
      <c r="K101" s="67" t="s">
        <v>19</v>
      </c>
      <c r="L101" s="67" t="s">
        <v>19</v>
      </c>
      <c r="M101" s="67" t="s">
        <v>21</v>
      </c>
      <c r="N101" s="67" t="s">
        <v>30</v>
      </c>
      <c r="O101" s="50">
        <v>11279169</v>
      </c>
    </row>
    <row r="102" spans="1:15" hidden="1" x14ac:dyDescent="0.25">
      <c r="A102" s="66">
        <v>2012</v>
      </c>
      <c r="B102" s="67" t="s">
        <v>15</v>
      </c>
      <c r="C102" s="67" t="s">
        <v>16</v>
      </c>
      <c r="D102" s="67" t="s">
        <v>44</v>
      </c>
      <c r="E102" s="50">
        <v>23391</v>
      </c>
      <c r="F102" s="67" t="s">
        <v>29</v>
      </c>
      <c r="G102" s="51">
        <v>0</v>
      </c>
      <c r="H102" s="50">
        <v>0</v>
      </c>
      <c r="I102" s="50">
        <v>0</v>
      </c>
      <c r="J102" s="50">
        <v>0</v>
      </c>
      <c r="K102" s="67" t="s">
        <v>19</v>
      </c>
      <c r="L102" s="67" t="s">
        <v>19</v>
      </c>
      <c r="M102" s="67" t="s">
        <v>21</v>
      </c>
      <c r="N102" s="67" t="s">
        <v>30</v>
      </c>
      <c r="O102" s="50">
        <v>11279169</v>
      </c>
    </row>
    <row r="103" spans="1:15" hidden="1" x14ac:dyDescent="0.25">
      <c r="A103" s="66">
        <v>2012</v>
      </c>
      <c r="B103" s="67" t="s">
        <v>15</v>
      </c>
      <c r="C103" s="67" t="s">
        <v>16</v>
      </c>
      <c r="D103" s="67" t="s">
        <v>35</v>
      </c>
      <c r="E103" s="50">
        <v>28954</v>
      </c>
      <c r="F103" s="67" t="s">
        <v>24</v>
      </c>
      <c r="G103" s="51">
        <v>63541</v>
      </c>
      <c r="H103" s="50">
        <v>167.85296846599999</v>
      </c>
      <c r="I103" s="50">
        <v>0</v>
      </c>
      <c r="J103" s="50">
        <v>167.85296846599999</v>
      </c>
      <c r="K103" s="67" t="s">
        <v>19</v>
      </c>
      <c r="L103" s="67" t="s">
        <v>19</v>
      </c>
      <c r="M103" s="67" t="s">
        <v>21</v>
      </c>
      <c r="N103" s="67" t="s">
        <v>36</v>
      </c>
      <c r="O103" s="50">
        <v>11279169</v>
      </c>
    </row>
    <row r="104" spans="1:15" hidden="1" x14ac:dyDescent="0.25">
      <c r="A104" s="66">
        <v>2012</v>
      </c>
      <c r="B104" s="67" t="s">
        <v>15</v>
      </c>
      <c r="C104" s="67" t="s">
        <v>16</v>
      </c>
      <c r="D104" s="67" t="s">
        <v>43</v>
      </c>
      <c r="E104" s="50">
        <v>1199292</v>
      </c>
      <c r="F104" s="67" t="s">
        <v>24</v>
      </c>
      <c r="G104" s="51">
        <v>4880831.0489999996</v>
      </c>
      <c r="H104" s="50">
        <v>12234.4186716684</v>
      </c>
      <c r="I104" s="50">
        <v>0</v>
      </c>
      <c r="J104" s="50">
        <v>12234.4186716684</v>
      </c>
      <c r="K104" s="67" t="s">
        <v>19</v>
      </c>
      <c r="L104" s="67" t="s">
        <v>20</v>
      </c>
      <c r="M104" s="67" t="s">
        <v>21</v>
      </c>
      <c r="N104" s="67" t="s">
        <v>34</v>
      </c>
      <c r="O104" s="50">
        <v>11279169</v>
      </c>
    </row>
    <row r="105" spans="1:15" x14ac:dyDescent="0.25">
      <c r="A105" s="66">
        <v>2013</v>
      </c>
      <c r="B105" s="67" t="s">
        <v>15</v>
      </c>
      <c r="C105" s="67" t="s">
        <v>16</v>
      </c>
      <c r="D105" s="67" t="s">
        <v>45</v>
      </c>
      <c r="E105" s="50">
        <v>100288000</v>
      </c>
      <c r="F105" s="67" t="s">
        <v>46</v>
      </c>
      <c r="G105" s="51">
        <v>-1707001.3</v>
      </c>
      <c r="H105" s="50">
        <v>0</v>
      </c>
      <c r="I105" s="50">
        <v>0</v>
      </c>
      <c r="J105" s="50">
        <v>0</v>
      </c>
      <c r="K105" s="67" t="s">
        <v>47</v>
      </c>
      <c r="L105" s="67" t="s">
        <v>47</v>
      </c>
      <c r="M105" s="67" t="s">
        <v>21</v>
      </c>
      <c r="N105" s="67" t="s">
        <v>48</v>
      </c>
      <c r="O105" s="50">
        <v>11639494</v>
      </c>
    </row>
    <row r="106" spans="1:15" x14ac:dyDescent="0.25">
      <c r="A106" s="66">
        <v>2013</v>
      </c>
      <c r="B106" s="67" t="s">
        <v>15</v>
      </c>
      <c r="C106" s="67" t="s">
        <v>16</v>
      </c>
      <c r="D106" s="67" t="s">
        <v>38</v>
      </c>
      <c r="E106" s="50">
        <v>5851.05</v>
      </c>
      <c r="F106" s="67" t="s">
        <v>24</v>
      </c>
      <c r="G106" s="51">
        <v>19384.0605</v>
      </c>
      <c r="H106" s="50">
        <v>0</v>
      </c>
      <c r="I106" s="50">
        <v>0</v>
      </c>
      <c r="J106" s="50">
        <v>0</v>
      </c>
      <c r="K106" s="67" t="s">
        <v>19</v>
      </c>
      <c r="L106" s="67" t="s">
        <v>19</v>
      </c>
      <c r="M106" s="67" t="s">
        <v>25</v>
      </c>
      <c r="N106" s="67" t="s">
        <v>39</v>
      </c>
      <c r="O106" s="50">
        <v>11639494</v>
      </c>
    </row>
    <row r="107" spans="1:15" x14ac:dyDescent="0.25">
      <c r="A107" s="66">
        <v>2013</v>
      </c>
      <c r="B107" s="67" t="s">
        <v>15</v>
      </c>
      <c r="C107" s="67" t="s">
        <v>16</v>
      </c>
      <c r="D107" s="67" t="s">
        <v>40</v>
      </c>
      <c r="E107" s="50">
        <v>628305941</v>
      </c>
      <c r="F107" s="67" t="s">
        <v>41</v>
      </c>
      <c r="G107" s="51">
        <v>0</v>
      </c>
      <c r="H107" s="50">
        <v>0</v>
      </c>
      <c r="I107" s="50">
        <v>0</v>
      </c>
      <c r="J107" s="50">
        <v>0</v>
      </c>
      <c r="K107" s="67" t="s">
        <v>19</v>
      </c>
      <c r="L107" s="67" t="s">
        <v>19</v>
      </c>
      <c r="M107" s="67" t="s">
        <v>21</v>
      </c>
      <c r="N107" s="67" t="s">
        <v>40</v>
      </c>
      <c r="O107" s="50">
        <v>11639494</v>
      </c>
    </row>
    <row r="108" spans="1:15" x14ac:dyDescent="0.25">
      <c r="A108" s="66">
        <v>2013</v>
      </c>
      <c r="B108" s="67" t="s">
        <v>15</v>
      </c>
      <c r="C108" s="67" t="s">
        <v>16</v>
      </c>
      <c r="D108" s="67" t="s">
        <v>23</v>
      </c>
      <c r="E108" s="50">
        <v>33155.949999999997</v>
      </c>
      <c r="F108" s="67" t="s">
        <v>24</v>
      </c>
      <c r="G108" s="51">
        <v>109843.0095</v>
      </c>
      <c r="H108" s="50">
        <v>336.47557052180593</v>
      </c>
      <c r="I108" s="50">
        <v>6.4254951469488937</v>
      </c>
      <c r="J108" s="50">
        <v>342.90106566875482</v>
      </c>
      <c r="K108" s="67" t="s">
        <v>19</v>
      </c>
      <c r="L108" s="67" t="s">
        <v>19</v>
      </c>
      <c r="M108" s="67" t="s">
        <v>25</v>
      </c>
      <c r="N108" s="67" t="s">
        <v>26</v>
      </c>
      <c r="O108" s="50">
        <v>11639494</v>
      </c>
    </row>
    <row r="109" spans="1:15" x14ac:dyDescent="0.25">
      <c r="A109" s="66">
        <v>2013</v>
      </c>
      <c r="B109" s="67" t="s">
        <v>15</v>
      </c>
      <c r="C109" s="67" t="s">
        <v>16</v>
      </c>
      <c r="D109" s="67" t="s">
        <v>27</v>
      </c>
      <c r="E109" s="50">
        <v>170067</v>
      </c>
      <c r="F109" s="67" t="s">
        <v>24</v>
      </c>
      <c r="G109" s="51">
        <v>581326.28</v>
      </c>
      <c r="H109" s="50">
        <v>1515.0388679784512</v>
      </c>
      <c r="I109" s="50">
        <v>28.931892079230746</v>
      </c>
      <c r="J109" s="50">
        <v>1543.9707600576819</v>
      </c>
      <c r="K109" s="67" t="s">
        <v>19</v>
      </c>
      <c r="L109" s="67" t="s">
        <v>19</v>
      </c>
      <c r="M109" s="67" t="s">
        <v>25</v>
      </c>
      <c r="N109" s="67" t="s">
        <v>27</v>
      </c>
      <c r="O109" s="50">
        <v>11639494</v>
      </c>
    </row>
    <row r="110" spans="1:15" x14ac:dyDescent="0.25">
      <c r="A110" s="66">
        <v>2013</v>
      </c>
      <c r="B110" s="67" t="s">
        <v>15</v>
      </c>
      <c r="C110" s="67" t="s">
        <v>16</v>
      </c>
      <c r="D110" s="67" t="s">
        <v>28</v>
      </c>
      <c r="E110" s="50">
        <v>38189014</v>
      </c>
      <c r="F110" s="67" t="s">
        <v>29</v>
      </c>
      <c r="G110" s="51">
        <v>5967700</v>
      </c>
      <c r="H110" s="50">
        <v>15565.191422885428</v>
      </c>
      <c r="I110" s="50">
        <v>0</v>
      </c>
      <c r="J110" s="50">
        <v>15565.191422885428</v>
      </c>
      <c r="K110" s="67" t="s">
        <v>19</v>
      </c>
      <c r="L110" s="67" t="s">
        <v>19</v>
      </c>
      <c r="M110" s="67" t="s">
        <v>21</v>
      </c>
      <c r="N110" s="67" t="s">
        <v>30</v>
      </c>
      <c r="O110" s="50">
        <v>11639494</v>
      </c>
    </row>
    <row r="111" spans="1:15" x14ac:dyDescent="0.25">
      <c r="A111" s="66">
        <v>2013</v>
      </c>
      <c r="B111" s="67" t="s">
        <v>15</v>
      </c>
      <c r="C111" s="67" t="s">
        <v>16</v>
      </c>
      <c r="D111" s="67" t="s">
        <v>50</v>
      </c>
      <c r="E111" s="50">
        <v>1445630</v>
      </c>
      <c r="F111" s="67" t="s">
        <v>32</v>
      </c>
      <c r="G111" s="51">
        <v>3455106</v>
      </c>
      <c r="H111" s="50">
        <v>7689.4467743620007</v>
      </c>
      <c r="I111" s="50">
        <v>0</v>
      </c>
      <c r="J111" s="50">
        <v>7689.4467743620007</v>
      </c>
      <c r="K111" s="67" t="s">
        <v>19</v>
      </c>
      <c r="L111" s="67" t="s">
        <v>19</v>
      </c>
      <c r="M111" s="67" t="s">
        <v>21</v>
      </c>
      <c r="N111" s="67" t="s">
        <v>31</v>
      </c>
      <c r="O111" s="50">
        <v>11639494</v>
      </c>
    </row>
    <row r="112" spans="1:15" x14ac:dyDescent="0.25">
      <c r="A112" s="66">
        <v>2013</v>
      </c>
      <c r="B112" s="67" t="s">
        <v>15</v>
      </c>
      <c r="C112" s="67" t="s">
        <v>16</v>
      </c>
      <c r="D112" s="67" t="s">
        <v>31</v>
      </c>
      <c r="E112" s="50">
        <v>17118309</v>
      </c>
      <c r="F112" s="67" t="s">
        <v>32</v>
      </c>
      <c r="G112" s="51">
        <v>16146086</v>
      </c>
      <c r="H112" s="50">
        <v>91053.952894296599</v>
      </c>
      <c r="I112" s="50">
        <v>0</v>
      </c>
      <c r="J112" s="50">
        <v>91053.952894296599</v>
      </c>
      <c r="K112" s="67" t="s">
        <v>19</v>
      </c>
      <c r="L112" s="67" t="s">
        <v>19</v>
      </c>
      <c r="M112" s="67" t="s">
        <v>21</v>
      </c>
      <c r="N112" s="67" t="s">
        <v>31</v>
      </c>
      <c r="O112" s="50">
        <v>11639494</v>
      </c>
    </row>
    <row r="113" spans="1:15" x14ac:dyDescent="0.25">
      <c r="A113" s="66">
        <v>2013</v>
      </c>
      <c r="B113" s="67" t="s">
        <v>15</v>
      </c>
      <c r="C113" s="67" t="s">
        <v>16</v>
      </c>
      <c r="D113" s="67" t="s">
        <v>33</v>
      </c>
      <c r="E113" s="50">
        <v>27322</v>
      </c>
      <c r="F113" s="67" t="s">
        <v>24</v>
      </c>
      <c r="G113" s="51">
        <v>82836.388999999996</v>
      </c>
      <c r="H113" s="50">
        <v>278.72176829940003</v>
      </c>
      <c r="I113" s="50">
        <v>0</v>
      </c>
      <c r="J113" s="50">
        <v>278.72176829940003</v>
      </c>
      <c r="K113" s="67" t="s">
        <v>19</v>
      </c>
      <c r="L113" s="67" t="s">
        <v>20</v>
      </c>
      <c r="M113" s="67" t="s">
        <v>21</v>
      </c>
      <c r="N113" s="67" t="s">
        <v>34</v>
      </c>
      <c r="O113" s="50">
        <v>11639494</v>
      </c>
    </row>
    <row r="114" spans="1:15" x14ac:dyDescent="0.25">
      <c r="A114" s="66">
        <v>2013</v>
      </c>
      <c r="B114" s="67" t="s">
        <v>15</v>
      </c>
      <c r="C114" s="67" t="s">
        <v>16</v>
      </c>
      <c r="D114" s="67" t="s">
        <v>42</v>
      </c>
      <c r="E114" s="50">
        <v>92763130</v>
      </c>
      <c r="F114" s="67" t="s">
        <v>29</v>
      </c>
      <c r="G114" s="51">
        <v>0</v>
      </c>
      <c r="H114" s="50">
        <v>0</v>
      </c>
      <c r="I114" s="50">
        <v>0</v>
      </c>
      <c r="J114" s="50">
        <v>0</v>
      </c>
      <c r="K114" s="67" t="s">
        <v>19</v>
      </c>
      <c r="L114" s="67" t="s">
        <v>19</v>
      </c>
      <c r="M114" s="67" t="s">
        <v>21</v>
      </c>
      <c r="N114" s="67" t="s">
        <v>30</v>
      </c>
      <c r="O114" s="50">
        <v>11639494</v>
      </c>
    </row>
    <row r="115" spans="1:15" x14ac:dyDescent="0.25">
      <c r="A115" s="66">
        <v>2013</v>
      </c>
      <c r="B115" s="67" t="s">
        <v>15</v>
      </c>
      <c r="C115" s="67" t="s">
        <v>16</v>
      </c>
      <c r="D115" s="67" t="s">
        <v>44</v>
      </c>
      <c r="E115" s="50">
        <v>15690.56</v>
      </c>
      <c r="F115" s="67" t="s">
        <v>29</v>
      </c>
      <c r="G115" s="51">
        <v>0</v>
      </c>
      <c r="H115" s="50">
        <v>0</v>
      </c>
      <c r="I115" s="50">
        <v>0</v>
      </c>
      <c r="J115" s="50">
        <v>0</v>
      </c>
      <c r="K115" s="67" t="s">
        <v>19</v>
      </c>
      <c r="L115" s="67" t="s">
        <v>19</v>
      </c>
      <c r="M115" s="67" t="s">
        <v>21</v>
      </c>
      <c r="N115" s="67" t="s">
        <v>30</v>
      </c>
      <c r="O115" s="50">
        <v>11639494</v>
      </c>
    </row>
    <row r="116" spans="1:15" x14ac:dyDescent="0.25">
      <c r="A116" s="66">
        <v>2013</v>
      </c>
      <c r="B116" s="67" t="s">
        <v>15</v>
      </c>
      <c r="C116" s="67" t="s">
        <v>16</v>
      </c>
      <c r="D116" s="67" t="s">
        <v>35</v>
      </c>
      <c r="E116" s="50">
        <v>31241.02</v>
      </c>
      <c r="F116" s="67" t="s">
        <v>24</v>
      </c>
      <c r="G116" s="51">
        <v>67488.289999999994</v>
      </c>
      <c r="H116" s="50">
        <v>181.11134713358001</v>
      </c>
      <c r="I116" s="50">
        <v>0</v>
      </c>
      <c r="J116" s="50">
        <v>181.11134713358001</v>
      </c>
      <c r="K116" s="67" t="s">
        <v>19</v>
      </c>
      <c r="L116" s="67" t="s">
        <v>19</v>
      </c>
      <c r="M116" s="67" t="s">
        <v>21</v>
      </c>
      <c r="N116" s="67" t="s">
        <v>36</v>
      </c>
      <c r="O116" s="50">
        <v>11639494</v>
      </c>
    </row>
    <row r="117" spans="1:15" x14ac:dyDescent="0.25">
      <c r="A117" s="66">
        <v>2013</v>
      </c>
      <c r="B117" s="67" t="s">
        <v>15</v>
      </c>
      <c r="C117" s="67" t="s">
        <v>16</v>
      </c>
      <c r="D117" s="67" t="s">
        <v>43</v>
      </c>
      <c r="E117" s="50">
        <v>564295</v>
      </c>
      <c r="F117" s="67" t="s">
        <v>24</v>
      </c>
      <c r="G117" s="51">
        <v>1710861.581</v>
      </c>
      <c r="H117" s="50">
        <v>5756.5807862715001</v>
      </c>
      <c r="I117" s="50">
        <v>0</v>
      </c>
      <c r="J117" s="50">
        <v>5756.5807862715001</v>
      </c>
      <c r="K117" s="67" t="s">
        <v>19</v>
      </c>
      <c r="L117" s="67" t="s">
        <v>20</v>
      </c>
      <c r="M117" s="67" t="s">
        <v>21</v>
      </c>
      <c r="N117" s="67" t="s">
        <v>34</v>
      </c>
      <c r="O117" s="50">
        <v>11639494</v>
      </c>
    </row>
    <row r="118" spans="1:15" x14ac:dyDescent="0.25">
      <c r="A118" s="66">
        <v>2014</v>
      </c>
      <c r="B118" s="67" t="s">
        <v>15</v>
      </c>
      <c r="C118" s="67" t="s">
        <v>16</v>
      </c>
      <c r="D118" s="67" t="s">
        <v>45</v>
      </c>
      <c r="E118" s="50">
        <v>143063000</v>
      </c>
      <c r="F118" s="67" t="s">
        <v>46</v>
      </c>
      <c r="G118" s="51">
        <v>-2595772</v>
      </c>
      <c r="H118" s="50">
        <v>0</v>
      </c>
      <c r="I118" s="50">
        <v>0</v>
      </c>
      <c r="J118" s="50">
        <v>0</v>
      </c>
      <c r="K118" s="67" t="s">
        <v>47</v>
      </c>
      <c r="L118" s="67" t="s">
        <v>47</v>
      </c>
      <c r="M118" s="67" t="s">
        <v>21</v>
      </c>
      <c r="N118" s="67" t="s">
        <v>48</v>
      </c>
      <c r="O118" s="50">
        <v>12239033</v>
      </c>
    </row>
    <row r="119" spans="1:15" x14ac:dyDescent="0.25">
      <c r="A119" s="66">
        <v>2014</v>
      </c>
      <c r="B119" s="67" t="s">
        <v>15</v>
      </c>
      <c r="C119" s="67" t="s">
        <v>16</v>
      </c>
      <c r="D119" s="67" t="s">
        <v>38</v>
      </c>
      <c r="E119" s="50">
        <v>2689.375</v>
      </c>
      <c r="F119" s="67" t="s">
        <v>24</v>
      </c>
      <c r="G119" s="51">
        <v>9079.76</v>
      </c>
      <c r="H119" s="50">
        <v>0</v>
      </c>
      <c r="I119" s="50">
        <v>0</v>
      </c>
      <c r="J119" s="50">
        <v>0</v>
      </c>
      <c r="K119" s="67" t="s">
        <v>19</v>
      </c>
      <c r="L119" s="67" t="s">
        <v>19</v>
      </c>
      <c r="M119" s="67" t="s">
        <v>25</v>
      </c>
      <c r="N119" s="67" t="s">
        <v>39</v>
      </c>
      <c r="O119" s="50">
        <v>12239033</v>
      </c>
    </row>
    <row r="120" spans="1:15" x14ac:dyDescent="0.25">
      <c r="A120" s="66">
        <v>2014</v>
      </c>
      <c r="B120" s="67" t="s">
        <v>15</v>
      </c>
      <c r="C120" s="67" t="s">
        <v>16</v>
      </c>
      <c r="D120" s="67" t="s">
        <v>40</v>
      </c>
      <c r="E120" s="50">
        <v>801871459.69739997</v>
      </c>
      <c r="F120" s="67" t="s">
        <v>41</v>
      </c>
      <c r="G120" s="51">
        <v>0</v>
      </c>
      <c r="H120" s="50">
        <v>0</v>
      </c>
      <c r="I120" s="50">
        <v>0</v>
      </c>
      <c r="J120" s="50">
        <v>0</v>
      </c>
      <c r="K120" s="67" t="s">
        <v>19</v>
      </c>
      <c r="L120" s="67" t="s">
        <v>19</v>
      </c>
      <c r="M120" s="67" t="s">
        <v>21</v>
      </c>
      <c r="N120" s="67" t="s">
        <v>40</v>
      </c>
      <c r="O120" s="50">
        <v>12239033</v>
      </c>
    </row>
    <row r="121" spans="1:15" x14ac:dyDescent="0.25">
      <c r="A121" s="66">
        <v>2014</v>
      </c>
      <c r="B121" s="67" t="s">
        <v>15</v>
      </c>
      <c r="C121" s="67" t="s">
        <v>16</v>
      </c>
      <c r="D121" s="67" t="s">
        <v>23</v>
      </c>
      <c r="E121" s="50">
        <v>51098.125</v>
      </c>
      <c r="F121" s="67" t="s">
        <v>24</v>
      </c>
      <c r="G121" s="51">
        <v>172515.44</v>
      </c>
      <c r="H121" s="50">
        <v>518.55762727261788</v>
      </c>
      <c r="I121" s="50">
        <v>9.9026194153896334</v>
      </c>
      <c r="J121" s="50">
        <v>528.46024668800749</v>
      </c>
      <c r="K121" s="67" t="s">
        <v>19</v>
      </c>
      <c r="L121" s="67" t="s">
        <v>19</v>
      </c>
      <c r="M121" s="67" t="s">
        <v>25</v>
      </c>
      <c r="N121" s="67" t="s">
        <v>26</v>
      </c>
      <c r="O121" s="50">
        <v>12239033</v>
      </c>
    </row>
    <row r="122" spans="1:15" x14ac:dyDescent="0.25">
      <c r="A122" s="66">
        <v>2014</v>
      </c>
      <c r="B122" s="67" t="s">
        <v>15</v>
      </c>
      <c r="C122" s="67" t="s">
        <v>16</v>
      </c>
      <c r="D122" s="67" t="s">
        <v>27</v>
      </c>
      <c r="E122" s="50">
        <v>156207.79999999999</v>
      </c>
      <c r="F122" s="67" t="s">
        <v>24</v>
      </c>
      <c r="G122" s="51">
        <v>471186.32</v>
      </c>
      <c r="H122" s="50">
        <v>1391.5744293802106</v>
      </c>
      <c r="I122" s="50">
        <v>26.574157311730435</v>
      </c>
      <c r="J122" s="50">
        <v>1418.1485866919411</v>
      </c>
      <c r="K122" s="67" t="s">
        <v>19</v>
      </c>
      <c r="L122" s="67" t="s">
        <v>19</v>
      </c>
      <c r="M122" s="67" t="s">
        <v>25</v>
      </c>
      <c r="N122" s="67" t="s">
        <v>27</v>
      </c>
      <c r="O122" s="50">
        <v>12239033</v>
      </c>
    </row>
    <row r="123" spans="1:15" x14ac:dyDescent="0.25">
      <c r="A123" s="66">
        <v>2014</v>
      </c>
      <c r="B123" s="67" t="s">
        <v>15</v>
      </c>
      <c r="C123" s="67" t="s">
        <v>16</v>
      </c>
      <c r="D123" s="67" t="s">
        <v>28</v>
      </c>
      <c r="E123" s="50">
        <v>40975240</v>
      </c>
      <c r="F123" s="67" t="s">
        <v>29</v>
      </c>
      <c r="G123" s="51">
        <v>5552792.1900000004</v>
      </c>
      <c r="H123" s="50">
        <v>13977.11963523761</v>
      </c>
      <c r="I123" s="50">
        <v>0</v>
      </c>
      <c r="J123" s="50">
        <v>13977.11963523761</v>
      </c>
      <c r="K123" s="67" t="s">
        <v>19</v>
      </c>
      <c r="L123" s="67" t="s">
        <v>19</v>
      </c>
      <c r="M123" s="67" t="s">
        <v>21</v>
      </c>
      <c r="N123" s="67" t="s">
        <v>30</v>
      </c>
      <c r="O123" s="50">
        <v>12239033</v>
      </c>
    </row>
    <row r="124" spans="1:15" x14ac:dyDescent="0.25">
      <c r="A124" s="66">
        <v>2014</v>
      </c>
      <c r="B124" s="67" t="s">
        <v>15</v>
      </c>
      <c r="C124" s="67" t="s">
        <v>16</v>
      </c>
      <c r="D124" s="67" t="s">
        <v>50</v>
      </c>
      <c r="E124" s="50">
        <v>1781370</v>
      </c>
      <c r="F124" s="67" t="s">
        <v>32</v>
      </c>
      <c r="G124" s="51">
        <v>5011577.54</v>
      </c>
      <c r="H124" s="50">
        <v>9475.2805354379998</v>
      </c>
      <c r="I124" s="50">
        <v>0</v>
      </c>
      <c r="J124" s="50">
        <v>9475.2805354379998</v>
      </c>
      <c r="K124" s="67" t="s">
        <v>19</v>
      </c>
      <c r="L124" s="67" t="s">
        <v>19</v>
      </c>
      <c r="M124" s="67" t="s">
        <v>21</v>
      </c>
      <c r="N124" s="67" t="s">
        <v>31</v>
      </c>
      <c r="O124" s="50">
        <v>12239033</v>
      </c>
    </row>
    <row r="125" spans="1:15" x14ac:dyDescent="0.25">
      <c r="A125" s="66">
        <v>2014</v>
      </c>
      <c r="B125" s="67" t="s">
        <v>15</v>
      </c>
      <c r="C125" s="67" t="s">
        <v>16</v>
      </c>
      <c r="D125" s="67" t="s">
        <v>31</v>
      </c>
      <c r="E125" s="50">
        <v>16500045.539999999</v>
      </c>
      <c r="F125" s="67" t="s">
        <v>32</v>
      </c>
      <c r="G125" s="51">
        <v>12188005.560000001</v>
      </c>
      <c r="H125" s="50">
        <v>87765.349331695601</v>
      </c>
      <c r="I125" s="50">
        <v>0</v>
      </c>
      <c r="J125" s="50">
        <v>87765.349331695601</v>
      </c>
      <c r="K125" s="67" t="s">
        <v>19</v>
      </c>
      <c r="L125" s="67" t="s">
        <v>19</v>
      </c>
      <c r="M125" s="67" t="s">
        <v>21</v>
      </c>
      <c r="N125" s="67" t="s">
        <v>31</v>
      </c>
      <c r="O125" s="50">
        <v>12239033</v>
      </c>
    </row>
    <row r="126" spans="1:15" x14ac:dyDescent="0.25">
      <c r="A126" s="66">
        <v>2014</v>
      </c>
      <c r="B126" s="67" t="s">
        <v>15</v>
      </c>
      <c r="C126" s="67" t="s">
        <v>16</v>
      </c>
      <c r="D126" s="67" t="s">
        <v>33</v>
      </c>
      <c r="E126" s="50">
        <v>27748.2</v>
      </c>
      <c r="F126" s="67" t="s">
        <v>24</v>
      </c>
      <c r="G126" s="51">
        <v>100549.41</v>
      </c>
      <c r="H126" s="50">
        <v>283.06959121314003</v>
      </c>
      <c r="I126" s="50">
        <v>0</v>
      </c>
      <c r="J126" s="50">
        <v>283.06959121314003</v>
      </c>
      <c r="K126" s="67" t="s">
        <v>19</v>
      </c>
      <c r="L126" s="67" t="s">
        <v>19</v>
      </c>
      <c r="M126" s="67" t="s">
        <v>21</v>
      </c>
      <c r="N126" s="67" t="s">
        <v>34</v>
      </c>
      <c r="O126" s="50">
        <v>12239033</v>
      </c>
    </row>
    <row r="127" spans="1:15" x14ac:dyDescent="0.25">
      <c r="A127" s="66">
        <v>2014</v>
      </c>
      <c r="B127" s="67" t="s">
        <v>15</v>
      </c>
      <c r="C127" s="67" t="s">
        <v>16</v>
      </c>
      <c r="D127" s="67" t="s">
        <v>42</v>
      </c>
      <c r="E127" s="50">
        <v>93094171</v>
      </c>
      <c r="F127" s="67" t="s">
        <v>29</v>
      </c>
      <c r="G127" s="51">
        <v>0</v>
      </c>
      <c r="H127" s="50">
        <v>0</v>
      </c>
      <c r="I127" s="50">
        <v>0</v>
      </c>
      <c r="J127" s="50">
        <v>0</v>
      </c>
      <c r="K127" s="67" t="s">
        <v>19</v>
      </c>
      <c r="L127" s="67" t="s">
        <v>19</v>
      </c>
      <c r="M127" s="67" t="s">
        <v>21</v>
      </c>
      <c r="N127" s="67" t="s">
        <v>30</v>
      </c>
      <c r="O127" s="50">
        <v>12239033</v>
      </c>
    </row>
    <row r="128" spans="1:15" x14ac:dyDescent="0.25">
      <c r="A128" s="66">
        <v>2014</v>
      </c>
      <c r="B128" s="67" t="s">
        <v>15</v>
      </c>
      <c r="C128" s="67" t="s">
        <v>16</v>
      </c>
      <c r="D128" s="67" t="s">
        <v>44</v>
      </c>
      <c r="E128" s="50">
        <v>12720</v>
      </c>
      <c r="F128" s="67" t="s">
        <v>29</v>
      </c>
      <c r="G128" s="51">
        <v>0</v>
      </c>
      <c r="H128" s="50">
        <v>0</v>
      </c>
      <c r="I128" s="50">
        <v>0</v>
      </c>
      <c r="J128" s="50">
        <v>0</v>
      </c>
      <c r="K128" s="67" t="s">
        <v>19</v>
      </c>
      <c r="L128" s="67" t="s">
        <v>19</v>
      </c>
      <c r="M128" s="67" t="s">
        <v>21</v>
      </c>
      <c r="N128" s="67" t="s">
        <v>30</v>
      </c>
      <c r="O128" s="50">
        <v>12239033</v>
      </c>
    </row>
    <row r="129" spans="1:15" x14ac:dyDescent="0.25">
      <c r="A129" s="66">
        <v>2014</v>
      </c>
      <c r="B129" s="67" t="s">
        <v>15</v>
      </c>
      <c r="C129" s="67" t="s">
        <v>16</v>
      </c>
      <c r="D129" s="67" t="s">
        <v>35</v>
      </c>
      <c r="E129" s="50">
        <v>40827.4</v>
      </c>
      <c r="F129" s="67" t="s">
        <v>24</v>
      </c>
      <c r="G129" s="51">
        <v>92341.23</v>
      </c>
      <c r="H129" s="50">
        <v>236.68578727460002</v>
      </c>
      <c r="I129" s="50">
        <v>0</v>
      </c>
      <c r="J129" s="50">
        <v>236.68578727460002</v>
      </c>
      <c r="K129" s="67" t="s">
        <v>19</v>
      </c>
      <c r="L129" s="67" t="s">
        <v>19</v>
      </c>
      <c r="M129" s="67" t="s">
        <v>21</v>
      </c>
      <c r="N129" s="67" t="s">
        <v>36</v>
      </c>
      <c r="O129" s="50">
        <v>12239033</v>
      </c>
    </row>
    <row r="130" spans="1:15" x14ac:dyDescent="0.25">
      <c r="A130" s="66">
        <v>2014</v>
      </c>
      <c r="B130" s="67" t="s">
        <v>15</v>
      </c>
      <c r="C130" s="67" t="s">
        <v>16</v>
      </c>
      <c r="D130" s="67" t="s">
        <v>43</v>
      </c>
      <c r="E130" s="50">
        <v>1327560</v>
      </c>
      <c r="F130" s="67" t="s">
        <v>24</v>
      </c>
      <c r="G130" s="51">
        <v>4460601.5999999996</v>
      </c>
      <c r="H130" s="50">
        <v>13542.927703812</v>
      </c>
      <c r="I130" s="50">
        <v>0</v>
      </c>
      <c r="J130" s="50">
        <v>13542.927703812</v>
      </c>
      <c r="K130" s="67" t="s">
        <v>19</v>
      </c>
      <c r="L130" s="67" t="s">
        <v>19</v>
      </c>
      <c r="M130" s="67" t="s">
        <v>21</v>
      </c>
      <c r="N130" s="67" t="s">
        <v>34</v>
      </c>
      <c r="O130" s="50">
        <v>12239033</v>
      </c>
    </row>
    <row r="131" spans="1:15" x14ac:dyDescent="0.25">
      <c r="A131" s="66">
        <v>2014</v>
      </c>
      <c r="B131" s="67" t="s">
        <v>15</v>
      </c>
      <c r="C131" s="67" t="s">
        <v>16</v>
      </c>
      <c r="D131" s="67" t="s">
        <v>173</v>
      </c>
      <c r="E131" s="50">
        <v>298649801</v>
      </c>
      <c r="F131" s="67" t="s">
        <v>24</v>
      </c>
      <c r="G131" s="51">
        <v>0</v>
      </c>
      <c r="H131" s="50">
        <v>0</v>
      </c>
      <c r="I131" s="50">
        <v>0</v>
      </c>
      <c r="J131" s="50">
        <v>0</v>
      </c>
      <c r="K131" s="67" t="s">
        <v>19</v>
      </c>
      <c r="L131" s="67" t="s">
        <v>19</v>
      </c>
      <c r="M131" s="67" t="s">
        <v>21</v>
      </c>
      <c r="N131" s="67" t="s">
        <v>48</v>
      </c>
      <c r="O131" s="50">
        <v>12239033</v>
      </c>
    </row>
    <row r="132" spans="1:15" x14ac:dyDescent="0.25">
      <c r="A132" s="66">
        <v>2015</v>
      </c>
      <c r="B132" s="67" t="s">
        <v>15</v>
      </c>
      <c r="C132" s="67" t="s">
        <v>16</v>
      </c>
      <c r="D132" s="67" t="s">
        <v>45</v>
      </c>
      <c r="E132" s="50">
        <v>144721000</v>
      </c>
      <c r="F132" s="67" t="s">
        <v>46</v>
      </c>
      <c r="G132" s="51">
        <v>-3058293.85</v>
      </c>
      <c r="H132" s="50">
        <v>0</v>
      </c>
      <c r="I132" s="50">
        <v>0</v>
      </c>
      <c r="J132" s="50">
        <v>0</v>
      </c>
      <c r="K132" s="67" t="s">
        <v>47</v>
      </c>
      <c r="L132" s="67" t="s">
        <v>47</v>
      </c>
      <c r="M132" s="67" t="s">
        <v>21</v>
      </c>
      <c r="N132" s="67" t="s">
        <v>48</v>
      </c>
      <c r="O132" s="50">
        <v>12514904</v>
      </c>
    </row>
    <row r="133" spans="1:15" x14ac:dyDescent="0.25">
      <c r="A133" s="66">
        <v>2015</v>
      </c>
      <c r="B133" s="67" t="s">
        <v>15</v>
      </c>
      <c r="C133" s="67" t="s">
        <v>16</v>
      </c>
      <c r="D133" s="67" t="s">
        <v>38</v>
      </c>
      <c r="E133" s="50">
        <v>2965.12</v>
      </c>
      <c r="F133" s="67" t="s">
        <v>24</v>
      </c>
      <c r="G133" s="51">
        <v>10140.719999999999</v>
      </c>
      <c r="H133" s="50">
        <v>0</v>
      </c>
      <c r="I133" s="50">
        <v>0</v>
      </c>
      <c r="J133" s="50">
        <v>0</v>
      </c>
      <c r="K133" s="67" t="s">
        <v>19</v>
      </c>
      <c r="L133" s="67" t="s">
        <v>19</v>
      </c>
      <c r="M133" s="67" t="s">
        <v>25</v>
      </c>
      <c r="N133" s="67" t="s">
        <v>39</v>
      </c>
      <c r="O133" s="50">
        <v>12514904</v>
      </c>
    </row>
    <row r="134" spans="1:15" x14ac:dyDescent="0.25">
      <c r="A134" s="66">
        <v>2015</v>
      </c>
      <c r="B134" s="67" t="s">
        <v>15</v>
      </c>
      <c r="C134" s="67" t="s">
        <v>16</v>
      </c>
      <c r="D134" s="67" t="s">
        <v>40</v>
      </c>
      <c r="E134" s="50">
        <v>1311666326</v>
      </c>
      <c r="F134" s="67" t="s">
        <v>41</v>
      </c>
      <c r="G134" s="51">
        <v>0</v>
      </c>
      <c r="H134" s="50">
        <v>0</v>
      </c>
      <c r="I134" s="50">
        <v>0</v>
      </c>
      <c r="J134" s="50">
        <v>0</v>
      </c>
      <c r="K134" s="67" t="s">
        <v>19</v>
      </c>
      <c r="L134" s="67" t="s">
        <v>19</v>
      </c>
      <c r="M134" s="67" t="s">
        <v>21</v>
      </c>
      <c r="N134" s="67" t="s">
        <v>40</v>
      </c>
      <c r="O134" s="50">
        <v>12514904</v>
      </c>
    </row>
    <row r="135" spans="1:15" x14ac:dyDescent="0.25">
      <c r="A135" s="66">
        <v>2015</v>
      </c>
      <c r="B135" s="67" t="s">
        <v>15</v>
      </c>
      <c r="C135" s="67" t="s">
        <v>16</v>
      </c>
      <c r="D135" s="67" t="s">
        <v>23</v>
      </c>
      <c r="E135" s="50">
        <v>56337.327499999992</v>
      </c>
      <c r="F135" s="67" t="s">
        <v>24</v>
      </c>
      <c r="G135" s="51">
        <v>192673.68</v>
      </c>
      <c r="H135" s="50">
        <v>571.72647480275259</v>
      </c>
      <c r="I135" s="50">
        <v>10.917956639557016</v>
      </c>
      <c r="J135" s="50">
        <v>582.64443144230961</v>
      </c>
      <c r="K135" s="67" t="s">
        <v>19</v>
      </c>
      <c r="L135" s="67" t="s">
        <v>19</v>
      </c>
      <c r="M135" s="67" t="s">
        <v>25</v>
      </c>
      <c r="N135" s="67" t="s">
        <v>26</v>
      </c>
      <c r="O135" s="50">
        <v>12514904</v>
      </c>
    </row>
    <row r="136" spans="1:15" x14ac:dyDescent="0.25">
      <c r="A136" s="66">
        <v>2015</v>
      </c>
      <c r="B136" s="67" t="s">
        <v>15</v>
      </c>
      <c r="C136" s="67" t="s">
        <v>16</v>
      </c>
      <c r="D136" s="67" t="s">
        <v>27</v>
      </c>
      <c r="E136" s="50">
        <v>154626</v>
      </c>
      <c r="F136" s="67" t="s">
        <v>24</v>
      </c>
      <c r="G136" s="51">
        <v>456036.8</v>
      </c>
      <c r="H136" s="50">
        <v>1377.4829919974832</v>
      </c>
      <c r="I136" s="50">
        <v>26.305060621067774</v>
      </c>
      <c r="J136" s="50">
        <v>1403.7880526185509</v>
      </c>
      <c r="K136" s="67" t="s">
        <v>19</v>
      </c>
      <c r="L136" s="67" t="s">
        <v>19</v>
      </c>
      <c r="M136" s="67" t="s">
        <v>25</v>
      </c>
      <c r="N136" s="67" t="s">
        <v>27</v>
      </c>
      <c r="O136" s="50">
        <v>12514904</v>
      </c>
    </row>
    <row r="137" spans="1:15" x14ac:dyDescent="0.25">
      <c r="A137" s="66">
        <v>2015</v>
      </c>
      <c r="B137" s="67" t="s">
        <v>15</v>
      </c>
      <c r="C137" s="67" t="s">
        <v>16</v>
      </c>
      <c r="D137" s="67" t="s">
        <v>28</v>
      </c>
      <c r="E137" s="50">
        <v>36491618</v>
      </c>
      <c r="F137" s="67" t="s">
        <v>29</v>
      </c>
      <c r="G137" s="51">
        <v>4776500.55</v>
      </c>
      <c r="H137" s="50">
        <v>12447.705259795677</v>
      </c>
      <c r="I137" s="50">
        <v>0</v>
      </c>
      <c r="J137" s="50">
        <v>12447.705259795677</v>
      </c>
      <c r="K137" s="67" t="s">
        <v>19</v>
      </c>
      <c r="L137" s="67" t="s">
        <v>19</v>
      </c>
      <c r="M137" s="67" t="s">
        <v>21</v>
      </c>
      <c r="N137" s="67" t="s">
        <v>30</v>
      </c>
      <c r="O137" s="50">
        <v>12514904</v>
      </c>
    </row>
    <row r="138" spans="1:15" x14ac:dyDescent="0.25">
      <c r="A138" s="66">
        <v>2015</v>
      </c>
      <c r="B138" s="67" t="s">
        <v>15</v>
      </c>
      <c r="C138" s="67" t="s">
        <v>16</v>
      </c>
      <c r="D138" s="67" t="s">
        <v>50</v>
      </c>
      <c r="E138" s="50">
        <v>2501077</v>
      </c>
      <c r="F138" s="67" t="s">
        <v>32</v>
      </c>
      <c r="G138" s="51">
        <v>4705729.7699999996</v>
      </c>
      <c r="H138" s="50">
        <v>13303.472167899801</v>
      </c>
      <c r="I138" s="50">
        <v>0</v>
      </c>
      <c r="J138" s="50">
        <v>13303.472167899801</v>
      </c>
      <c r="K138" s="67" t="s">
        <v>19</v>
      </c>
      <c r="L138" s="67" t="s">
        <v>19</v>
      </c>
      <c r="M138" s="67" t="s">
        <v>21</v>
      </c>
      <c r="N138" s="67" t="s">
        <v>31</v>
      </c>
      <c r="O138" s="50">
        <v>12514904</v>
      </c>
    </row>
    <row r="139" spans="1:15" x14ac:dyDescent="0.25">
      <c r="A139" s="66">
        <v>2015</v>
      </c>
      <c r="B139" s="67" t="s">
        <v>15</v>
      </c>
      <c r="C139" s="67" t="s">
        <v>16</v>
      </c>
      <c r="D139" s="67" t="s">
        <v>31</v>
      </c>
      <c r="E139" s="50">
        <v>16804974.550000001</v>
      </c>
      <c r="F139" s="67" t="s">
        <v>32</v>
      </c>
      <c r="G139" s="51">
        <v>13473512.779999999</v>
      </c>
      <c r="H139" s="50">
        <v>89387.296435971177</v>
      </c>
      <c r="I139" s="50">
        <v>0</v>
      </c>
      <c r="J139" s="50">
        <v>89387.296435971177</v>
      </c>
      <c r="K139" s="67" t="s">
        <v>19</v>
      </c>
      <c r="L139" s="67" t="s">
        <v>19</v>
      </c>
      <c r="M139" s="67" t="s">
        <v>21</v>
      </c>
      <c r="N139" s="67" t="s">
        <v>31</v>
      </c>
      <c r="O139" s="50">
        <v>12514904</v>
      </c>
    </row>
    <row r="140" spans="1:15" x14ac:dyDescent="0.25">
      <c r="A140" s="66">
        <v>2015</v>
      </c>
      <c r="B140" s="67" t="s">
        <v>15</v>
      </c>
      <c r="C140" s="67" t="s">
        <v>16</v>
      </c>
      <c r="D140" s="67" t="s">
        <v>33</v>
      </c>
      <c r="E140" s="50">
        <v>25545.83</v>
      </c>
      <c r="F140" s="67" t="s">
        <v>24</v>
      </c>
      <c r="G140" s="51">
        <v>62379.65</v>
      </c>
      <c r="H140" s="50">
        <v>260.60240503169103</v>
      </c>
      <c r="I140" s="50">
        <v>0</v>
      </c>
      <c r="J140" s="50">
        <v>260.60240503169103</v>
      </c>
      <c r="K140" s="67" t="s">
        <v>19</v>
      </c>
      <c r="L140" s="67" t="s">
        <v>19</v>
      </c>
      <c r="M140" s="67" t="s">
        <v>21</v>
      </c>
      <c r="N140" s="67" t="s">
        <v>34</v>
      </c>
      <c r="O140" s="50">
        <v>12514904</v>
      </c>
    </row>
    <row r="141" spans="1:15" x14ac:dyDescent="0.25">
      <c r="A141" s="66">
        <v>2015</v>
      </c>
      <c r="B141" s="67" t="s">
        <v>15</v>
      </c>
      <c r="C141" s="67" t="s">
        <v>16</v>
      </c>
      <c r="D141" s="67" t="s">
        <v>42</v>
      </c>
      <c r="E141" s="50">
        <v>99622504.769999996</v>
      </c>
      <c r="F141" s="67" t="s">
        <v>29</v>
      </c>
      <c r="G141" s="51">
        <v>0</v>
      </c>
      <c r="H141" s="50">
        <v>0</v>
      </c>
      <c r="I141" s="50">
        <v>0</v>
      </c>
      <c r="J141" s="50">
        <v>0</v>
      </c>
      <c r="K141" s="67" t="s">
        <v>19</v>
      </c>
      <c r="L141" s="67" t="s">
        <v>19</v>
      </c>
      <c r="M141" s="67" t="s">
        <v>21</v>
      </c>
      <c r="N141" s="67" t="s">
        <v>30</v>
      </c>
      <c r="O141" s="50">
        <v>12514904</v>
      </c>
    </row>
    <row r="142" spans="1:15" x14ac:dyDescent="0.25">
      <c r="A142" s="66">
        <v>2015</v>
      </c>
      <c r="B142" s="67" t="s">
        <v>15</v>
      </c>
      <c r="C142" s="67" t="s">
        <v>16</v>
      </c>
      <c r="D142" s="67" t="s">
        <v>44</v>
      </c>
      <c r="E142" s="50">
        <v>12455.1</v>
      </c>
      <c r="F142" s="67" t="s">
        <v>29</v>
      </c>
      <c r="G142" s="51">
        <v>0</v>
      </c>
      <c r="H142" s="50">
        <v>0</v>
      </c>
      <c r="I142" s="50">
        <v>0</v>
      </c>
      <c r="J142" s="50">
        <v>0</v>
      </c>
      <c r="K142" s="67" t="s">
        <v>19</v>
      </c>
      <c r="L142" s="67" t="s">
        <v>19</v>
      </c>
      <c r="M142" s="67" t="s">
        <v>21</v>
      </c>
      <c r="N142" s="67" t="s">
        <v>30</v>
      </c>
      <c r="O142" s="50">
        <v>12514904</v>
      </c>
    </row>
    <row r="143" spans="1:15" x14ac:dyDescent="0.25">
      <c r="A143" s="66">
        <v>2015</v>
      </c>
      <c r="B143" s="67" t="s">
        <v>15</v>
      </c>
      <c r="C143" s="67" t="s">
        <v>16</v>
      </c>
      <c r="D143" s="67" t="s">
        <v>35</v>
      </c>
      <c r="E143" s="50">
        <v>46813</v>
      </c>
      <c r="F143" s="67" t="s">
        <v>24</v>
      </c>
      <c r="G143" s="51">
        <v>108430.37</v>
      </c>
      <c r="H143" s="50">
        <v>271.38568117699998</v>
      </c>
      <c r="I143" s="50">
        <v>0</v>
      </c>
      <c r="J143" s="50">
        <v>271.38568117699998</v>
      </c>
      <c r="K143" s="67" t="s">
        <v>19</v>
      </c>
      <c r="L143" s="67" t="s">
        <v>19</v>
      </c>
      <c r="M143" s="67" t="s">
        <v>21</v>
      </c>
      <c r="N143" s="67" t="s">
        <v>36</v>
      </c>
      <c r="O143" s="50">
        <v>12514904</v>
      </c>
    </row>
    <row r="144" spans="1:15" x14ac:dyDescent="0.25">
      <c r="A144" s="66">
        <v>2015</v>
      </c>
      <c r="B144" s="67" t="s">
        <v>15</v>
      </c>
      <c r="C144" s="67" t="s">
        <v>16</v>
      </c>
      <c r="D144" s="67" t="s">
        <v>43</v>
      </c>
      <c r="E144" s="50">
        <v>1202453</v>
      </c>
      <c r="F144" s="67" t="s">
        <v>24</v>
      </c>
      <c r="G144" s="51">
        <v>3298473.03</v>
      </c>
      <c r="H144" s="50">
        <v>12266.6651949681</v>
      </c>
      <c r="I144" s="50">
        <v>0</v>
      </c>
      <c r="J144" s="50">
        <v>12266.6651949681</v>
      </c>
      <c r="K144" s="67" t="s">
        <v>19</v>
      </c>
      <c r="L144" s="67" t="s">
        <v>19</v>
      </c>
      <c r="M144" s="67" t="s">
        <v>21</v>
      </c>
      <c r="N144" s="67" t="s">
        <v>34</v>
      </c>
      <c r="O144" s="50">
        <v>12514904</v>
      </c>
    </row>
    <row r="145" spans="1:15" x14ac:dyDescent="0.25">
      <c r="A145" s="66">
        <v>2015</v>
      </c>
      <c r="B145" s="67" t="s">
        <v>15</v>
      </c>
      <c r="C145" s="67" t="s">
        <v>16</v>
      </c>
      <c r="D145" s="67" t="s">
        <v>173</v>
      </c>
      <c r="E145" s="50">
        <v>358777400</v>
      </c>
      <c r="F145" s="67" t="s">
        <v>24</v>
      </c>
      <c r="G145" s="51">
        <v>0</v>
      </c>
      <c r="H145" s="50">
        <v>0</v>
      </c>
      <c r="I145" s="50">
        <v>0</v>
      </c>
      <c r="J145" s="50">
        <v>0</v>
      </c>
      <c r="K145" s="67" t="s">
        <v>19</v>
      </c>
      <c r="L145" s="67" t="s">
        <v>19</v>
      </c>
      <c r="M145" s="67" t="s">
        <v>21</v>
      </c>
      <c r="N145" s="67" t="s">
        <v>48</v>
      </c>
      <c r="O145" s="50">
        <v>12514904</v>
      </c>
    </row>
    <row r="146" spans="1:15" x14ac:dyDescent="0.25">
      <c r="A146" s="66">
        <v>2016</v>
      </c>
      <c r="B146" s="67" t="s">
        <v>15</v>
      </c>
      <c r="C146" s="67" t="s">
        <v>16</v>
      </c>
      <c r="D146" s="67" t="s">
        <v>45</v>
      </c>
      <c r="E146" s="50">
        <v>59044</v>
      </c>
      <c r="F146" s="67" t="s">
        <v>46</v>
      </c>
      <c r="G146" s="51">
        <v>-1269446</v>
      </c>
      <c r="H146" s="50">
        <v>0</v>
      </c>
      <c r="I146" s="50">
        <v>0</v>
      </c>
      <c r="J146" s="50">
        <v>0</v>
      </c>
      <c r="K146" s="67" t="s">
        <v>19</v>
      </c>
      <c r="L146" s="67" t="s">
        <v>19</v>
      </c>
      <c r="M146" s="67" t="s">
        <v>21</v>
      </c>
      <c r="N146" s="67" t="s">
        <v>48</v>
      </c>
      <c r="O146" s="50">
        <v>12805925</v>
      </c>
    </row>
    <row r="147" spans="1:15" x14ac:dyDescent="0.25">
      <c r="A147" s="66">
        <v>2016</v>
      </c>
      <c r="B147" s="67" t="s">
        <v>15</v>
      </c>
      <c r="C147" s="67" t="s">
        <v>16</v>
      </c>
      <c r="D147" s="67" t="s">
        <v>38</v>
      </c>
      <c r="E147" s="50">
        <v>2660.94</v>
      </c>
      <c r="F147" s="67" t="s">
        <v>24</v>
      </c>
      <c r="G147" s="51">
        <v>9100.42</v>
      </c>
      <c r="H147" s="50">
        <v>0</v>
      </c>
      <c r="I147" s="50">
        <v>0</v>
      </c>
      <c r="J147" s="50">
        <v>0</v>
      </c>
      <c r="K147" s="67" t="s">
        <v>19</v>
      </c>
      <c r="L147" s="67" t="s">
        <v>19</v>
      </c>
      <c r="M147" s="67" t="s">
        <v>25</v>
      </c>
      <c r="N147" s="67" t="s">
        <v>39</v>
      </c>
      <c r="O147" s="50">
        <v>12805925</v>
      </c>
    </row>
    <row r="148" spans="1:15" x14ac:dyDescent="0.25">
      <c r="A148" s="66">
        <v>2016</v>
      </c>
      <c r="B148" s="67" t="s">
        <v>15</v>
      </c>
      <c r="C148" s="67" t="s">
        <v>16</v>
      </c>
      <c r="D148" s="67" t="s">
        <v>40</v>
      </c>
      <c r="E148" s="50">
        <v>1215100222</v>
      </c>
      <c r="F148" s="67" t="s">
        <v>41</v>
      </c>
      <c r="G148" s="51">
        <v>0</v>
      </c>
      <c r="H148" s="50">
        <v>0</v>
      </c>
      <c r="I148" s="50">
        <v>0</v>
      </c>
      <c r="J148" s="50">
        <v>0</v>
      </c>
      <c r="K148" s="67" t="s">
        <v>19</v>
      </c>
      <c r="L148" s="67" t="s">
        <v>19</v>
      </c>
      <c r="M148" s="67" t="s">
        <v>21</v>
      </c>
      <c r="N148" s="67" t="s">
        <v>40</v>
      </c>
      <c r="O148" s="50">
        <v>12805925</v>
      </c>
    </row>
    <row r="149" spans="1:15" x14ac:dyDescent="0.25">
      <c r="A149" s="66">
        <v>2016</v>
      </c>
      <c r="B149" s="67" t="s">
        <v>15</v>
      </c>
      <c r="C149" s="67" t="s">
        <v>16</v>
      </c>
      <c r="D149" s="67" t="s">
        <v>23</v>
      </c>
      <c r="E149" s="50">
        <v>50557.81</v>
      </c>
      <c r="F149" s="67" t="s">
        <v>24</v>
      </c>
      <c r="G149" s="51">
        <v>172907.89</v>
      </c>
      <c r="H149" s="50">
        <v>513.07436415132327</v>
      </c>
      <c r="I149" s="50">
        <v>9.7979084536972785</v>
      </c>
      <c r="J149" s="50">
        <v>522.8722726050205</v>
      </c>
      <c r="K149" s="67" t="s">
        <v>19</v>
      </c>
      <c r="L149" s="67" t="s">
        <v>19</v>
      </c>
      <c r="M149" s="67" t="s">
        <v>25</v>
      </c>
      <c r="N149" s="67" t="s">
        <v>26</v>
      </c>
      <c r="O149" s="50">
        <v>12805925</v>
      </c>
    </row>
    <row r="150" spans="1:15" x14ac:dyDescent="0.25">
      <c r="A150" s="66">
        <v>2016</v>
      </c>
      <c r="B150" s="67" t="s">
        <v>15</v>
      </c>
      <c r="C150" s="67" t="s">
        <v>16</v>
      </c>
      <c r="D150" s="67" t="s">
        <v>27</v>
      </c>
      <c r="E150" s="50">
        <v>143503</v>
      </c>
      <c r="F150" s="67" t="s">
        <v>24</v>
      </c>
      <c r="G150" s="51">
        <v>423234</v>
      </c>
      <c r="H150" s="50">
        <v>1278.3939428079032</v>
      </c>
      <c r="I150" s="50">
        <v>24.412809710560246</v>
      </c>
      <c r="J150" s="50">
        <v>1302.8067525184633</v>
      </c>
      <c r="K150" s="67" t="s">
        <v>19</v>
      </c>
      <c r="L150" s="67" t="s">
        <v>19</v>
      </c>
      <c r="M150" s="67" t="s">
        <v>25</v>
      </c>
      <c r="N150" s="67" t="s">
        <v>27</v>
      </c>
      <c r="O150" s="50">
        <v>12805925</v>
      </c>
    </row>
    <row r="151" spans="1:15" x14ac:dyDescent="0.25">
      <c r="A151" s="66">
        <v>2016</v>
      </c>
      <c r="B151" s="67" t="s">
        <v>15</v>
      </c>
      <c r="C151" s="67" t="s">
        <v>16</v>
      </c>
      <c r="D151" s="67" t="s">
        <v>28</v>
      </c>
      <c r="E151" s="50">
        <v>48651545</v>
      </c>
      <c r="F151" s="67" t="s">
        <v>29</v>
      </c>
      <c r="G151" s="51">
        <v>5911952.0099999998</v>
      </c>
      <c r="H151" s="50">
        <v>16595.594434691444</v>
      </c>
      <c r="I151" s="50">
        <v>0</v>
      </c>
      <c r="J151" s="50">
        <v>16595.594434691444</v>
      </c>
      <c r="K151" s="67" t="s">
        <v>19</v>
      </c>
      <c r="L151" s="67" t="s">
        <v>19</v>
      </c>
      <c r="M151" s="67" t="s">
        <v>21</v>
      </c>
      <c r="N151" s="67" t="s">
        <v>30</v>
      </c>
      <c r="O151" s="50">
        <v>12805925</v>
      </c>
    </row>
    <row r="152" spans="1:15" x14ac:dyDescent="0.25">
      <c r="A152" s="66">
        <v>2016</v>
      </c>
      <c r="B152" s="67" t="s">
        <v>15</v>
      </c>
      <c r="C152" s="67" t="s">
        <v>16</v>
      </c>
      <c r="D152" s="67" t="s">
        <v>50</v>
      </c>
      <c r="E152" s="50">
        <v>2011961.02</v>
      </c>
      <c r="F152" s="67" t="s">
        <v>32</v>
      </c>
      <c r="G152" s="51">
        <v>3408077.01</v>
      </c>
      <c r="H152" s="50">
        <v>10701.816630383348</v>
      </c>
      <c r="I152" s="50">
        <v>0</v>
      </c>
      <c r="J152" s="50">
        <v>10701.816630383348</v>
      </c>
      <c r="K152" s="67" t="s">
        <v>19</v>
      </c>
      <c r="L152" s="67" t="s">
        <v>19</v>
      </c>
      <c r="M152" s="67" t="s">
        <v>21</v>
      </c>
      <c r="N152" s="67" t="s">
        <v>31</v>
      </c>
      <c r="O152" s="50">
        <v>12805925</v>
      </c>
    </row>
    <row r="153" spans="1:15" x14ac:dyDescent="0.25">
      <c r="A153" s="66">
        <v>2016</v>
      </c>
      <c r="B153" s="67" t="s">
        <v>15</v>
      </c>
      <c r="C153" s="67" t="s">
        <v>16</v>
      </c>
      <c r="D153" s="67" t="s">
        <v>31</v>
      </c>
      <c r="E153" s="50">
        <v>16227910.08</v>
      </c>
      <c r="F153" s="67" t="s">
        <v>32</v>
      </c>
      <c r="G153" s="51">
        <v>14105959.57</v>
      </c>
      <c r="H153" s="50">
        <v>86317.834313961794</v>
      </c>
      <c r="I153" s="50">
        <v>0</v>
      </c>
      <c r="J153" s="50">
        <v>86317.834313961794</v>
      </c>
      <c r="K153" s="67" t="s">
        <v>19</v>
      </c>
      <c r="L153" s="67" t="s">
        <v>19</v>
      </c>
      <c r="M153" s="67" t="s">
        <v>21</v>
      </c>
      <c r="N153" s="67" t="s">
        <v>31</v>
      </c>
      <c r="O153" s="50">
        <v>12805925</v>
      </c>
    </row>
    <row r="154" spans="1:15" x14ac:dyDescent="0.25">
      <c r="A154" s="66">
        <v>2016</v>
      </c>
      <c r="B154" s="67" t="s">
        <v>15</v>
      </c>
      <c r="C154" s="67" t="s">
        <v>16</v>
      </c>
      <c r="D154" s="67" t="s">
        <v>170</v>
      </c>
      <c r="E154" s="50">
        <v>11672394</v>
      </c>
      <c r="F154" s="67" t="s">
        <v>29</v>
      </c>
      <c r="G154" s="51">
        <v>-1043688.15</v>
      </c>
      <c r="H154" s="50">
        <v>0</v>
      </c>
      <c r="I154" s="50">
        <v>0</v>
      </c>
      <c r="J154" s="50">
        <v>0</v>
      </c>
      <c r="K154" s="67" t="s">
        <v>19</v>
      </c>
      <c r="L154" s="67" t="s">
        <v>19</v>
      </c>
      <c r="M154" s="67" t="s">
        <v>21</v>
      </c>
      <c r="N154" s="67" t="s">
        <v>48</v>
      </c>
      <c r="O154" s="50">
        <v>12805925</v>
      </c>
    </row>
    <row r="155" spans="1:15" x14ac:dyDescent="0.25">
      <c r="A155" s="66">
        <v>2016</v>
      </c>
      <c r="B155" s="67" t="s">
        <v>15</v>
      </c>
      <c r="C155" s="67" t="s">
        <v>16</v>
      </c>
      <c r="D155" s="67" t="s">
        <v>33</v>
      </c>
      <c r="E155" s="50">
        <v>23858.9</v>
      </c>
      <c r="F155" s="67" t="s">
        <v>24</v>
      </c>
      <c r="G155" s="51">
        <v>41826.76</v>
      </c>
      <c r="H155" s="50">
        <v>243.39341181753002</v>
      </c>
      <c r="I155" s="50">
        <v>0</v>
      </c>
      <c r="J155" s="50">
        <v>243.39341181753002</v>
      </c>
      <c r="K155" s="67" t="s">
        <v>19</v>
      </c>
      <c r="L155" s="67" t="s">
        <v>19</v>
      </c>
      <c r="M155" s="67" t="s">
        <v>21</v>
      </c>
      <c r="N155" s="67" t="s">
        <v>34</v>
      </c>
      <c r="O155" s="50">
        <v>12805925</v>
      </c>
    </row>
    <row r="156" spans="1:15" x14ac:dyDescent="0.25">
      <c r="A156" s="66">
        <v>2016</v>
      </c>
      <c r="B156" s="67" t="s">
        <v>15</v>
      </c>
      <c r="C156" s="67" t="s">
        <v>16</v>
      </c>
      <c r="D156" s="67" t="s">
        <v>42</v>
      </c>
      <c r="E156" s="50">
        <v>91833928.760000005</v>
      </c>
      <c r="F156" s="67" t="s">
        <v>29</v>
      </c>
      <c r="G156" s="51">
        <v>0</v>
      </c>
      <c r="H156" s="50">
        <v>0</v>
      </c>
      <c r="I156" s="50">
        <v>0</v>
      </c>
      <c r="J156" s="50">
        <v>0</v>
      </c>
      <c r="K156" s="67" t="s">
        <v>19</v>
      </c>
      <c r="L156" s="67" t="s">
        <v>19</v>
      </c>
      <c r="M156" s="67" t="s">
        <v>21</v>
      </c>
      <c r="N156" s="67" t="s">
        <v>30</v>
      </c>
      <c r="O156" s="50">
        <v>12805925</v>
      </c>
    </row>
    <row r="157" spans="1:15" x14ac:dyDescent="0.25">
      <c r="A157" s="66">
        <v>2016</v>
      </c>
      <c r="B157" s="67" t="s">
        <v>15</v>
      </c>
      <c r="C157" s="67" t="s">
        <v>16</v>
      </c>
      <c r="D157" s="67" t="s">
        <v>44</v>
      </c>
      <c r="E157" s="50">
        <v>160321</v>
      </c>
      <c r="F157" s="67" t="s">
        <v>29</v>
      </c>
      <c r="G157" s="51">
        <v>0</v>
      </c>
      <c r="H157" s="50">
        <v>0</v>
      </c>
      <c r="I157" s="50">
        <v>0</v>
      </c>
      <c r="J157" s="50">
        <v>0</v>
      </c>
      <c r="K157" s="67" t="s">
        <v>19</v>
      </c>
      <c r="L157" s="67" t="s">
        <v>19</v>
      </c>
      <c r="M157" s="67" t="s">
        <v>21</v>
      </c>
      <c r="N157" s="67" t="s">
        <v>30</v>
      </c>
      <c r="O157" s="50">
        <v>12805925</v>
      </c>
    </row>
    <row r="158" spans="1:15" x14ac:dyDescent="0.25">
      <c r="A158" s="66">
        <v>2016</v>
      </c>
      <c r="B158" s="67" t="s">
        <v>15</v>
      </c>
      <c r="C158" s="67" t="s">
        <v>16</v>
      </c>
      <c r="D158" s="67" t="s">
        <v>35</v>
      </c>
      <c r="E158" s="50">
        <v>31092.400000000001</v>
      </c>
      <c r="F158" s="67" t="s">
        <v>24</v>
      </c>
      <c r="G158" s="51">
        <v>72116.75</v>
      </c>
      <c r="H158" s="50">
        <v>180.24976295960002</v>
      </c>
      <c r="I158" s="50">
        <v>0</v>
      </c>
      <c r="J158" s="50">
        <v>180.24976295960002</v>
      </c>
      <c r="K158" s="67" t="s">
        <v>19</v>
      </c>
      <c r="L158" s="67" t="s">
        <v>19</v>
      </c>
      <c r="M158" s="67" t="s">
        <v>21</v>
      </c>
      <c r="N158" s="67" t="s">
        <v>36</v>
      </c>
      <c r="O158" s="50">
        <v>12805925</v>
      </c>
    </row>
    <row r="159" spans="1:15" x14ac:dyDescent="0.25">
      <c r="A159" s="66">
        <v>2016</v>
      </c>
      <c r="B159" s="67" t="s">
        <v>15</v>
      </c>
      <c r="C159" s="67" t="s">
        <v>16</v>
      </c>
      <c r="D159" s="67" t="s">
        <v>172</v>
      </c>
      <c r="E159" s="50">
        <v>140</v>
      </c>
      <c r="F159" s="67" t="s">
        <v>46</v>
      </c>
      <c r="G159" s="51">
        <v>-37700</v>
      </c>
      <c r="H159" s="50">
        <v>0</v>
      </c>
      <c r="I159" s="50">
        <v>0</v>
      </c>
      <c r="J159" s="50">
        <v>0</v>
      </c>
      <c r="K159" s="67" t="s">
        <v>19</v>
      </c>
      <c r="L159" s="67" t="s">
        <v>19</v>
      </c>
      <c r="M159" s="67" t="s">
        <v>21</v>
      </c>
      <c r="N159" s="67" t="s">
        <v>48</v>
      </c>
      <c r="O159" s="50">
        <v>12805925</v>
      </c>
    </row>
    <row r="160" spans="1:15" x14ac:dyDescent="0.25">
      <c r="A160" s="66">
        <v>2016</v>
      </c>
      <c r="B160" s="67" t="s">
        <v>15</v>
      </c>
      <c r="C160" s="67" t="s">
        <v>16</v>
      </c>
      <c r="D160" s="67" t="s">
        <v>43</v>
      </c>
      <c r="E160" s="50">
        <v>737509</v>
      </c>
      <c r="F160" s="67" t="s">
        <v>24</v>
      </c>
      <c r="G160" s="51">
        <v>1773957.33</v>
      </c>
      <c r="H160" s="50">
        <v>7523.6004910593001</v>
      </c>
      <c r="I160" s="50">
        <v>0</v>
      </c>
      <c r="J160" s="50">
        <v>7523.6004910593001</v>
      </c>
      <c r="K160" s="67" t="s">
        <v>19</v>
      </c>
      <c r="L160" s="67" t="s">
        <v>19</v>
      </c>
      <c r="M160" s="67" t="s">
        <v>21</v>
      </c>
      <c r="N160" s="67" t="s">
        <v>34</v>
      </c>
      <c r="O160" s="50">
        <v>12805925</v>
      </c>
    </row>
    <row r="161" spans="1:15" x14ac:dyDescent="0.25">
      <c r="A161" s="66">
        <v>2016</v>
      </c>
      <c r="B161" s="67" t="s">
        <v>15</v>
      </c>
      <c r="C161" s="67" t="s">
        <v>16</v>
      </c>
      <c r="D161" s="67" t="s">
        <v>173</v>
      </c>
      <c r="E161" s="50">
        <v>278825067</v>
      </c>
      <c r="F161" s="67" t="s">
        <v>24</v>
      </c>
      <c r="G161" s="51">
        <v>0</v>
      </c>
      <c r="H161" s="50">
        <v>0</v>
      </c>
      <c r="I161" s="50">
        <v>0</v>
      </c>
      <c r="J161" s="50">
        <v>0</v>
      </c>
      <c r="K161" s="67" t="s">
        <v>19</v>
      </c>
      <c r="L161" s="67" t="s">
        <v>171</v>
      </c>
      <c r="M161" s="67" t="s">
        <v>21</v>
      </c>
      <c r="N161" s="67" t="s">
        <v>48</v>
      </c>
      <c r="O161" s="50">
        <v>12805925</v>
      </c>
    </row>
    <row r="165" spans="1:15" x14ac:dyDescent="0.25">
      <c r="G165" s="10"/>
    </row>
  </sheetData>
  <autoFilter ref="A1:O161">
    <filterColumn colId="0">
      <filters>
        <filter val="2013"/>
        <filter val="2014"/>
        <filter val="2015"/>
        <filter val="2016"/>
      </filters>
    </filterColumn>
    <sortState ref="A2:O164">
      <sortCondition ref="A1:A16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topLeftCell="A75" workbookViewId="0">
      <selection activeCell="H89" sqref="H89"/>
    </sheetView>
  </sheetViews>
  <sheetFormatPr defaultRowHeight="15" x14ac:dyDescent="0.25"/>
  <cols>
    <col min="5" max="5" width="26.85546875" bestFit="1" customWidth="1"/>
    <col min="6" max="6" width="13.7109375" bestFit="1" customWidth="1"/>
    <col min="7" max="7" width="13.85546875" bestFit="1" customWidth="1"/>
    <col min="8" max="8" width="16.85546875" bestFit="1" customWidth="1"/>
    <col min="9" max="9" width="13.85546875" bestFit="1" customWidth="1"/>
    <col min="11" max="11" width="10.5703125" bestFit="1" customWidth="1"/>
    <col min="12" max="12" width="15.42578125" bestFit="1" customWidth="1"/>
    <col min="13" max="13" width="13.85546875" bestFit="1" customWidth="1"/>
    <col min="20" max="20" width="13.5703125" bestFit="1" customWidth="1"/>
    <col min="21" max="22" width="12.5703125" bestFit="1" customWidth="1"/>
    <col min="25" max="25" width="42.7109375" bestFit="1" customWidth="1"/>
    <col min="26" max="27" width="13.28515625" bestFit="1" customWidth="1"/>
    <col min="30" max="30" width="17.7109375" bestFit="1" customWidth="1"/>
  </cols>
  <sheetData>
    <row r="1" spans="1:30" s="57" customFormat="1" ht="60" x14ac:dyDescent="0.25">
      <c r="A1" s="56" t="s">
        <v>0</v>
      </c>
      <c r="B1" s="56" t="s">
        <v>1</v>
      </c>
      <c r="C1" s="56" t="s">
        <v>2</v>
      </c>
      <c r="D1" s="56" t="s">
        <v>12</v>
      </c>
      <c r="E1" s="56" t="s">
        <v>3</v>
      </c>
      <c r="F1" s="56" t="s">
        <v>13</v>
      </c>
      <c r="G1" s="56" t="s">
        <v>4</v>
      </c>
      <c r="H1" s="56" t="s">
        <v>88</v>
      </c>
      <c r="I1" s="56" t="s">
        <v>6</v>
      </c>
      <c r="J1" s="56" t="s">
        <v>89</v>
      </c>
      <c r="K1" s="29" t="s">
        <v>133</v>
      </c>
      <c r="L1" s="29" t="s">
        <v>126</v>
      </c>
      <c r="M1" s="29" t="s">
        <v>134</v>
      </c>
      <c r="N1" s="29" t="s">
        <v>135</v>
      </c>
      <c r="O1" s="29" t="s">
        <v>129</v>
      </c>
      <c r="P1" s="29" t="s">
        <v>130</v>
      </c>
      <c r="Q1" s="29" t="s">
        <v>136</v>
      </c>
      <c r="R1" s="29" t="s">
        <v>137</v>
      </c>
      <c r="S1" s="29" t="s">
        <v>92</v>
      </c>
      <c r="T1" s="29" t="s">
        <v>138</v>
      </c>
      <c r="U1" s="29" t="s">
        <v>139</v>
      </c>
      <c r="V1" s="29" t="s">
        <v>140</v>
      </c>
      <c r="W1" s="29" t="s">
        <v>149</v>
      </c>
      <c r="X1" s="29" t="s">
        <v>132</v>
      </c>
      <c r="Y1" s="29" t="s">
        <v>154</v>
      </c>
      <c r="Z1" s="29" t="s">
        <v>150</v>
      </c>
      <c r="AA1" s="29" t="s">
        <v>151</v>
      </c>
      <c r="AB1" s="29" t="s">
        <v>2</v>
      </c>
      <c r="AC1" s="29" t="s">
        <v>152</v>
      </c>
      <c r="AD1" s="29" t="s">
        <v>153</v>
      </c>
    </row>
    <row r="2" spans="1:30" s="9" customFormat="1" x14ac:dyDescent="0.25">
      <c r="A2" s="52">
        <v>2006</v>
      </c>
      <c r="B2" s="53" t="s">
        <v>15</v>
      </c>
      <c r="C2" s="53" t="s">
        <v>16</v>
      </c>
      <c r="D2" s="53" t="s">
        <v>25</v>
      </c>
      <c r="E2" s="53" t="s">
        <v>38</v>
      </c>
      <c r="F2" s="53" t="s">
        <v>39</v>
      </c>
      <c r="G2" s="54">
        <v>7723</v>
      </c>
      <c r="H2" s="54">
        <v>985416.18499999994</v>
      </c>
      <c r="I2" s="55">
        <v>19391.3999</v>
      </c>
      <c r="J2" s="53" t="s">
        <v>90</v>
      </c>
      <c r="K2" s="32">
        <v>14775</v>
      </c>
      <c r="L2" s="32" t="s">
        <v>155</v>
      </c>
      <c r="M2" s="31">
        <f>IF(F2="electricity",0,VLOOKUP(L2,PL!H:L,2,FALSE))</f>
        <v>6087</v>
      </c>
      <c r="N2" s="31">
        <f>IF(F2="electricity",VLOOKUP(L2,PL!H:L,3,FALSE),0)</f>
        <v>0</v>
      </c>
      <c r="O2" s="31">
        <f>IF(F2="electricity",0,VLOOKUP(L2,PL!H:L,4,FALSE))</f>
        <v>6184</v>
      </c>
      <c r="P2" s="31">
        <f>IF(F2="electricity",VLOOKUP(L2,PL!H:L,5,FALSE),0)</f>
        <v>0</v>
      </c>
      <c r="Q2" s="30">
        <f t="shared" ref="Q2:Q33" si="0">IFERROR(O2/M2,0)</f>
        <v>1.0159356004599966</v>
      </c>
      <c r="R2" s="30">
        <f t="shared" ref="R2:R33" si="1">IFERROR(P2/N2,0)</f>
        <v>0</v>
      </c>
      <c r="S2" s="32">
        <f>VLOOKUP(E2,PL!A:C,3,FALSE)</f>
        <v>0</v>
      </c>
      <c r="T2" s="31">
        <f t="shared" ref="T2:T33" si="2">H2*S2</f>
        <v>0</v>
      </c>
      <c r="U2" s="31">
        <f t="shared" ref="U2:U33" si="3">H2*(1-S2)</f>
        <v>985416.18499999994</v>
      </c>
      <c r="V2" s="31">
        <f t="shared" ref="V2:V33" si="4">IF(Q2=0,(T2*R2)+U2,(T2*Q2)+U2)</f>
        <v>985416.18499999994</v>
      </c>
      <c r="W2" s="32">
        <f>H2/G2</f>
        <v>127.595</v>
      </c>
      <c r="X2" s="9" t="s">
        <v>131</v>
      </c>
      <c r="Y2" s="9" t="str">
        <f>C2 &amp;" ("&amp;E2&amp;")"</f>
        <v>UMass Amherst (B100 Equivalent for Vehicles)</v>
      </c>
      <c r="Z2" s="5">
        <f t="shared" ref="Z2" si="5">U2/1000</f>
        <v>985.41618499999993</v>
      </c>
      <c r="AA2" s="5">
        <f t="shared" ref="AA2" si="6">V2/1000</f>
        <v>985.41618499999993</v>
      </c>
      <c r="AB2" s="9" t="str">
        <f t="shared" ref="AB2" si="7">C2</f>
        <v>UMass Amherst</v>
      </c>
      <c r="AC2" s="9" t="str">
        <f t="shared" ref="AC2" si="8">E2</f>
        <v>B100 Equivalent for Vehicles</v>
      </c>
      <c r="AD2" s="9" t="str">
        <f>VLOOKUP(AC2,PL!A:B,2,FALSE)</f>
        <v>Vehicle Fuels</v>
      </c>
    </row>
    <row r="3" spans="1:30" s="9" customFormat="1" x14ac:dyDescent="0.25">
      <c r="A3" s="52">
        <v>2007</v>
      </c>
      <c r="B3" s="53" t="s">
        <v>15</v>
      </c>
      <c r="C3" s="53" t="s">
        <v>16</v>
      </c>
      <c r="D3" s="53" t="s">
        <v>25</v>
      </c>
      <c r="E3" s="53" t="s">
        <v>38</v>
      </c>
      <c r="F3" s="53" t="s">
        <v>39</v>
      </c>
      <c r="G3" s="54">
        <v>8362</v>
      </c>
      <c r="H3" s="54">
        <v>1066949.3899999999</v>
      </c>
      <c r="I3" s="55">
        <v>19215.423299999999</v>
      </c>
      <c r="J3" s="53" t="s">
        <v>90</v>
      </c>
      <c r="K3" s="32">
        <v>14775</v>
      </c>
      <c r="L3" s="32" t="s">
        <v>156</v>
      </c>
      <c r="M3" s="31">
        <f>IF(F3="electricity",0,VLOOKUP(L3,PL!H:L,2,FALSE))</f>
        <v>6216</v>
      </c>
      <c r="N3" s="31">
        <f>IF(F3="electricity",VLOOKUP(L3,PL!H:L,3,FALSE),0)</f>
        <v>0</v>
      </c>
      <c r="O3" s="31">
        <f>IF(F3="electricity",0,VLOOKUP(L3,PL!H:L,4,FALSE))</f>
        <v>6184</v>
      </c>
      <c r="P3" s="31">
        <f>IF(F3="electricity",VLOOKUP(L3,PL!H:L,5,FALSE),0)</f>
        <v>0</v>
      </c>
      <c r="Q3" s="30">
        <f t="shared" si="0"/>
        <v>0.99485199485199483</v>
      </c>
      <c r="R3" s="30">
        <f t="shared" si="1"/>
        <v>0</v>
      </c>
      <c r="S3" s="32">
        <f>VLOOKUP(E3,PL!A:C,3,FALSE)</f>
        <v>0</v>
      </c>
      <c r="T3" s="31">
        <f t="shared" si="2"/>
        <v>0</v>
      </c>
      <c r="U3" s="31">
        <f t="shared" si="3"/>
        <v>1066949.3899999999</v>
      </c>
      <c r="V3" s="31">
        <f t="shared" si="4"/>
        <v>1066949.3899999999</v>
      </c>
      <c r="W3" s="32">
        <f t="shared" ref="W3:W63" si="9">H3/G3</f>
        <v>127.59499999999998</v>
      </c>
      <c r="X3" s="9" t="s">
        <v>131</v>
      </c>
      <c r="Y3" s="9" t="str">
        <f t="shared" ref="Y3:Y63" si="10">C3 &amp;" ("&amp;E3&amp;")"</f>
        <v>UMass Amherst (B100 Equivalent for Vehicles)</v>
      </c>
      <c r="Z3" s="5">
        <f t="shared" ref="Z3:Z63" si="11">U3/1000</f>
        <v>1066.94939</v>
      </c>
      <c r="AA3" s="5">
        <f t="shared" ref="AA3:AA63" si="12">V3/1000</f>
        <v>1066.94939</v>
      </c>
      <c r="AB3" s="9" t="str">
        <f t="shared" ref="AB3:AB63" si="13">C3</f>
        <v>UMass Amherst</v>
      </c>
      <c r="AC3" s="9" t="str">
        <f t="shared" ref="AC3:AC63" si="14">E3</f>
        <v>B100 Equivalent for Vehicles</v>
      </c>
      <c r="AD3" s="9" t="str">
        <f>VLOOKUP(AC3,PL!A:B,2,FALSE)</f>
        <v>Vehicle Fuels</v>
      </c>
    </row>
    <row r="4" spans="1:30" s="9" customFormat="1" x14ac:dyDescent="0.25">
      <c r="A4" s="52">
        <v>2008</v>
      </c>
      <c r="B4" s="53" t="s">
        <v>15</v>
      </c>
      <c r="C4" s="53" t="s">
        <v>16</v>
      </c>
      <c r="D4" s="53" t="s">
        <v>25</v>
      </c>
      <c r="E4" s="53" t="s">
        <v>38</v>
      </c>
      <c r="F4" s="53" t="s">
        <v>39</v>
      </c>
      <c r="G4" s="54">
        <v>8284</v>
      </c>
      <c r="H4" s="54">
        <v>1056996.98</v>
      </c>
      <c r="I4" s="55">
        <v>28235.045999999998</v>
      </c>
      <c r="J4" s="53" t="s">
        <v>90</v>
      </c>
      <c r="K4" s="32">
        <v>14775</v>
      </c>
      <c r="L4" s="32" t="s">
        <v>157</v>
      </c>
      <c r="M4" s="31">
        <f>IF(F4="electricity",0,VLOOKUP(L4,PL!H:L,2,FALSE))</f>
        <v>6357</v>
      </c>
      <c r="N4" s="31">
        <f>IF(F4="electricity",VLOOKUP(L4,PL!H:L,3,FALSE),0)</f>
        <v>0</v>
      </c>
      <c r="O4" s="31">
        <f>IF(F4="electricity",0,VLOOKUP(L4,PL!H:L,4,FALSE))</f>
        <v>6184</v>
      </c>
      <c r="P4" s="31">
        <f>IF(F4="electricity",VLOOKUP(L4,PL!H:L,5,FALSE),0)</f>
        <v>0</v>
      </c>
      <c r="Q4" s="30">
        <f t="shared" si="0"/>
        <v>0.97278590530124276</v>
      </c>
      <c r="R4" s="30">
        <f t="shared" si="1"/>
        <v>0</v>
      </c>
      <c r="S4" s="32">
        <f>VLOOKUP(E4,PL!A:C,3,FALSE)</f>
        <v>0</v>
      </c>
      <c r="T4" s="31">
        <f t="shared" si="2"/>
        <v>0</v>
      </c>
      <c r="U4" s="31">
        <f t="shared" si="3"/>
        <v>1056996.98</v>
      </c>
      <c r="V4" s="31">
        <f t="shared" si="4"/>
        <v>1056996.98</v>
      </c>
      <c r="W4" s="32">
        <f t="shared" si="9"/>
        <v>127.595</v>
      </c>
      <c r="X4" s="9" t="s">
        <v>131</v>
      </c>
      <c r="Y4" s="9" t="str">
        <f t="shared" si="10"/>
        <v>UMass Amherst (B100 Equivalent for Vehicles)</v>
      </c>
      <c r="Z4" s="5">
        <f t="shared" si="11"/>
        <v>1056.9969799999999</v>
      </c>
      <c r="AA4" s="5">
        <f t="shared" si="12"/>
        <v>1056.9969799999999</v>
      </c>
      <c r="AB4" s="9" t="str">
        <f t="shared" si="13"/>
        <v>UMass Amherst</v>
      </c>
      <c r="AC4" s="9" t="str">
        <f t="shared" si="14"/>
        <v>B100 Equivalent for Vehicles</v>
      </c>
      <c r="AD4" s="9" t="str">
        <f>VLOOKUP(AC4,PL!A:B,2,FALSE)</f>
        <v>Vehicle Fuels</v>
      </c>
    </row>
    <row r="5" spans="1:30" s="9" customFormat="1" x14ac:dyDescent="0.25">
      <c r="A5" s="52">
        <v>2009</v>
      </c>
      <c r="B5" s="53" t="s">
        <v>15</v>
      </c>
      <c r="C5" s="53" t="s">
        <v>16</v>
      </c>
      <c r="D5" s="53" t="s">
        <v>25</v>
      </c>
      <c r="E5" s="53" t="s">
        <v>38</v>
      </c>
      <c r="F5" s="53" t="s">
        <v>39</v>
      </c>
      <c r="G5" s="54">
        <v>8641</v>
      </c>
      <c r="H5" s="54">
        <v>1102548.395</v>
      </c>
      <c r="I5" s="55">
        <v>20079.8063</v>
      </c>
      <c r="J5" s="53" t="s">
        <v>90</v>
      </c>
      <c r="K5" s="32">
        <v>14775</v>
      </c>
      <c r="L5" s="32" t="s">
        <v>158</v>
      </c>
      <c r="M5" s="31">
        <f>IF(F5="electricity",0,VLOOKUP(L5,PL!H:L,2,FALSE))</f>
        <v>6513</v>
      </c>
      <c r="N5" s="31">
        <f>IF(F5="electricity",VLOOKUP(L5,PL!H:L,3,FALSE),0)</f>
        <v>0</v>
      </c>
      <c r="O5" s="31">
        <f>IF(F5="electricity",0,VLOOKUP(L5,PL!H:L,4,FALSE))</f>
        <v>6184</v>
      </c>
      <c r="P5" s="31">
        <f>IF(F5="electricity",VLOOKUP(L5,PL!H:L,5,FALSE),0)</f>
        <v>0</v>
      </c>
      <c r="Q5" s="30">
        <f t="shared" si="0"/>
        <v>0.94948564409642255</v>
      </c>
      <c r="R5" s="30">
        <f t="shared" si="1"/>
        <v>0</v>
      </c>
      <c r="S5" s="32">
        <f>VLOOKUP(E5,PL!A:C,3,FALSE)</f>
        <v>0</v>
      </c>
      <c r="T5" s="31">
        <f t="shared" si="2"/>
        <v>0</v>
      </c>
      <c r="U5" s="31">
        <f t="shared" si="3"/>
        <v>1102548.395</v>
      </c>
      <c r="V5" s="31">
        <f t="shared" si="4"/>
        <v>1102548.395</v>
      </c>
      <c r="W5" s="32">
        <f t="shared" si="9"/>
        <v>127.595</v>
      </c>
      <c r="X5" s="9" t="s">
        <v>131</v>
      </c>
      <c r="Y5" s="9" t="str">
        <f t="shared" si="10"/>
        <v>UMass Amherst (B100 Equivalent for Vehicles)</v>
      </c>
      <c r="Z5" s="5">
        <f t="shared" si="11"/>
        <v>1102.548395</v>
      </c>
      <c r="AA5" s="5">
        <f t="shared" si="12"/>
        <v>1102.548395</v>
      </c>
      <c r="AB5" s="9" t="str">
        <f t="shared" si="13"/>
        <v>UMass Amherst</v>
      </c>
      <c r="AC5" s="9" t="str">
        <f t="shared" si="14"/>
        <v>B100 Equivalent for Vehicles</v>
      </c>
      <c r="AD5" s="9" t="str">
        <f>VLOOKUP(AC5,PL!A:B,2,FALSE)</f>
        <v>Vehicle Fuels</v>
      </c>
    </row>
    <row r="6" spans="1:30" s="9" customFormat="1" x14ac:dyDescent="0.25">
      <c r="A6" s="52">
        <v>2010</v>
      </c>
      <c r="B6" s="53" t="s">
        <v>15</v>
      </c>
      <c r="C6" s="53" t="s">
        <v>16</v>
      </c>
      <c r="D6" s="53" t="s">
        <v>25</v>
      </c>
      <c r="E6" s="53" t="s">
        <v>38</v>
      </c>
      <c r="F6" s="53" t="s">
        <v>39</v>
      </c>
      <c r="G6" s="54">
        <v>7000</v>
      </c>
      <c r="H6" s="54">
        <v>893165</v>
      </c>
      <c r="I6" s="55">
        <v>16363.6142</v>
      </c>
      <c r="J6" s="53" t="s">
        <v>90</v>
      </c>
      <c r="K6" s="32">
        <v>14775</v>
      </c>
      <c r="L6" s="32" t="s">
        <v>159</v>
      </c>
      <c r="M6" s="31">
        <f>IF(F6="electricity",0,VLOOKUP(L6,PL!H:L,2,FALSE))</f>
        <v>5785</v>
      </c>
      <c r="N6" s="31">
        <f>IF(F6="electricity",VLOOKUP(L6,PL!H:L,3,FALSE),0)</f>
        <v>0</v>
      </c>
      <c r="O6" s="31">
        <f>IF(F6="electricity",0,VLOOKUP(L6,PL!H:L,4,FALSE))</f>
        <v>6184</v>
      </c>
      <c r="P6" s="31">
        <f>IF(F6="electricity",VLOOKUP(L6,PL!H:L,5,FALSE),0)</f>
        <v>0</v>
      </c>
      <c r="Q6" s="30">
        <f t="shared" si="0"/>
        <v>1.0689714779602419</v>
      </c>
      <c r="R6" s="30">
        <f t="shared" si="1"/>
        <v>0</v>
      </c>
      <c r="S6" s="32">
        <f>VLOOKUP(E6,PL!A:C,3,FALSE)</f>
        <v>0</v>
      </c>
      <c r="T6" s="31">
        <f t="shared" si="2"/>
        <v>0</v>
      </c>
      <c r="U6" s="31">
        <f t="shared" si="3"/>
        <v>893165</v>
      </c>
      <c r="V6" s="31">
        <f t="shared" si="4"/>
        <v>893165</v>
      </c>
      <c r="W6" s="32">
        <f t="shared" si="9"/>
        <v>127.595</v>
      </c>
      <c r="X6" s="9" t="s">
        <v>131</v>
      </c>
      <c r="Y6" s="9" t="str">
        <f t="shared" si="10"/>
        <v>UMass Amherst (B100 Equivalent for Vehicles)</v>
      </c>
      <c r="Z6" s="5">
        <f t="shared" si="11"/>
        <v>893.16499999999996</v>
      </c>
      <c r="AA6" s="5">
        <f t="shared" si="12"/>
        <v>893.16499999999996</v>
      </c>
      <c r="AB6" s="9" t="str">
        <f t="shared" si="13"/>
        <v>UMass Amherst</v>
      </c>
      <c r="AC6" s="9" t="str">
        <f t="shared" si="14"/>
        <v>B100 Equivalent for Vehicles</v>
      </c>
      <c r="AD6" s="9" t="str">
        <f>VLOOKUP(AC6,PL!A:B,2,FALSE)</f>
        <v>Vehicle Fuels</v>
      </c>
    </row>
    <row r="7" spans="1:30" s="9" customFormat="1" x14ac:dyDescent="0.25">
      <c r="A7" s="52">
        <v>2011</v>
      </c>
      <c r="B7" s="53" t="s">
        <v>15</v>
      </c>
      <c r="C7" s="53" t="s">
        <v>16</v>
      </c>
      <c r="D7" s="53" t="s">
        <v>25</v>
      </c>
      <c r="E7" s="53" t="s">
        <v>38</v>
      </c>
      <c r="F7" s="53" t="s">
        <v>39</v>
      </c>
      <c r="G7" s="54">
        <v>8231.7999999999993</v>
      </c>
      <c r="H7" s="54">
        <v>1050336.5209999999</v>
      </c>
      <c r="I7" s="55">
        <v>22495.644199999999</v>
      </c>
      <c r="J7" s="53" t="s">
        <v>90</v>
      </c>
      <c r="K7" s="32">
        <v>14775</v>
      </c>
      <c r="L7" s="32" t="s">
        <v>160</v>
      </c>
      <c r="M7" s="31">
        <f>IF(F7="electricity",0,VLOOKUP(L7,PL!H:L,2,FALSE))</f>
        <v>6270</v>
      </c>
      <c r="N7" s="31">
        <f>IF(F7="electricity",VLOOKUP(L7,PL!H:L,3,FALSE),0)</f>
        <v>0</v>
      </c>
      <c r="O7" s="31">
        <f>IF(F7="electricity",0,VLOOKUP(L7,PL!H:L,4,FALSE))</f>
        <v>6184</v>
      </c>
      <c r="P7" s="31">
        <f>IF(F7="electricity",VLOOKUP(L7,PL!H:L,5,FALSE),0)</f>
        <v>0</v>
      </c>
      <c r="Q7" s="30">
        <f t="shared" si="0"/>
        <v>0.98628389154704943</v>
      </c>
      <c r="R7" s="30">
        <f t="shared" si="1"/>
        <v>0</v>
      </c>
      <c r="S7" s="32">
        <f>VLOOKUP(E7,PL!A:C,3,FALSE)</f>
        <v>0</v>
      </c>
      <c r="T7" s="31">
        <f t="shared" si="2"/>
        <v>0</v>
      </c>
      <c r="U7" s="31">
        <f t="shared" si="3"/>
        <v>1050336.5209999999</v>
      </c>
      <c r="V7" s="31">
        <f t="shared" si="4"/>
        <v>1050336.5209999999</v>
      </c>
      <c r="W7" s="32">
        <f t="shared" si="9"/>
        <v>127.595</v>
      </c>
      <c r="X7" s="9" t="s">
        <v>131</v>
      </c>
      <c r="Y7" s="9" t="str">
        <f t="shared" si="10"/>
        <v>UMass Amherst (B100 Equivalent for Vehicles)</v>
      </c>
      <c r="Z7" s="5">
        <f t="shared" si="11"/>
        <v>1050.3365209999999</v>
      </c>
      <c r="AA7" s="5">
        <f t="shared" si="12"/>
        <v>1050.3365209999999</v>
      </c>
      <c r="AB7" s="9" t="str">
        <f t="shared" si="13"/>
        <v>UMass Amherst</v>
      </c>
      <c r="AC7" s="9" t="str">
        <f t="shared" si="14"/>
        <v>B100 Equivalent for Vehicles</v>
      </c>
      <c r="AD7" s="9" t="str">
        <f>VLOOKUP(AC7,PL!A:B,2,FALSE)</f>
        <v>Vehicle Fuels</v>
      </c>
    </row>
    <row r="8" spans="1:30" s="9" customFormat="1" x14ac:dyDescent="0.25">
      <c r="A8" s="52">
        <v>2012</v>
      </c>
      <c r="B8" s="53" t="s">
        <v>15</v>
      </c>
      <c r="C8" s="53" t="s">
        <v>16</v>
      </c>
      <c r="D8" s="53" t="s">
        <v>25</v>
      </c>
      <c r="E8" s="53" t="s">
        <v>38</v>
      </c>
      <c r="F8" s="53" t="s">
        <v>39</v>
      </c>
      <c r="G8" s="54">
        <v>9099.6</v>
      </c>
      <c r="H8" s="54">
        <v>1161063.4620000001</v>
      </c>
      <c r="I8" s="55">
        <v>28539.895100000002</v>
      </c>
      <c r="J8" s="53" t="s">
        <v>90</v>
      </c>
      <c r="K8" s="32">
        <v>14775</v>
      </c>
      <c r="L8" s="32" t="s">
        <v>161</v>
      </c>
      <c r="M8" s="31">
        <f>IF(F8="electricity",0,VLOOKUP(L8,PL!H:L,2,FALSE))</f>
        <v>4908</v>
      </c>
      <c r="N8" s="31">
        <f>IF(F8="electricity",VLOOKUP(L8,PL!H:L,3,FALSE),0)</f>
        <v>0</v>
      </c>
      <c r="O8" s="31">
        <f>IF(F8="electricity",0,VLOOKUP(L8,PL!H:L,4,FALSE))</f>
        <v>6184</v>
      </c>
      <c r="P8" s="31">
        <f>IF(F8="electricity",VLOOKUP(L8,PL!H:L,5,FALSE),0)</f>
        <v>0</v>
      </c>
      <c r="Q8" s="30">
        <f t="shared" si="0"/>
        <v>1.2599837000814995</v>
      </c>
      <c r="R8" s="30">
        <f t="shared" si="1"/>
        <v>0</v>
      </c>
      <c r="S8" s="32">
        <f>VLOOKUP(E8,PL!A:C,3,FALSE)</f>
        <v>0</v>
      </c>
      <c r="T8" s="31">
        <f t="shared" si="2"/>
        <v>0</v>
      </c>
      <c r="U8" s="31">
        <f t="shared" si="3"/>
        <v>1161063.4620000001</v>
      </c>
      <c r="V8" s="31">
        <f t="shared" si="4"/>
        <v>1161063.4620000001</v>
      </c>
      <c r="W8" s="32">
        <f t="shared" si="9"/>
        <v>127.595</v>
      </c>
      <c r="X8" s="9" t="s">
        <v>131</v>
      </c>
      <c r="Y8" s="9" t="str">
        <f t="shared" si="10"/>
        <v>UMass Amherst (B100 Equivalent for Vehicles)</v>
      </c>
      <c r="Z8" s="5">
        <f t="shared" si="11"/>
        <v>1161.0634620000001</v>
      </c>
      <c r="AA8" s="5">
        <f t="shared" si="12"/>
        <v>1161.0634620000001</v>
      </c>
      <c r="AB8" s="9" t="str">
        <f t="shared" si="13"/>
        <v>UMass Amherst</v>
      </c>
      <c r="AC8" s="9" t="str">
        <f t="shared" si="14"/>
        <v>B100 Equivalent for Vehicles</v>
      </c>
      <c r="AD8" s="9" t="str">
        <f>VLOOKUP(AC8,PL!A:B,2,FALSE)</f>
        <v>Vehicle Fuels</v>
      </c>
    </row>
    <row r="9" spans="1:30" s="9" customFormat="1" x14ac:dyDescent="0.25">
      <c r="A9" s="52">
        <v>2013</v>
      </c>
      <c r="B9" s="53" t="s">
        <v>15</v>
      </c>
      <c r="C9" s="53" t="s">
        <v>16</v>
      </c>
      <c r="D9" s="53" t="s">
        <v>25</v>
      </c>
      <c r="E9" s="53" t="s">
        <v>38</v>
      </c>
      <c r="F9" s="53" t="s">
        <v>39</v>
      </c>
      <c r="G9" s="54">
        <v>5851.05</v>
      </c>
      <c r="H9" s="54">
        <v>746564.72475000005</v>
      </c>
      <c r="I9" s="55">
        <v>19384.0605</v>
      </c>
      <c r="J9" s="53" t="s">
        <v>90</v>
      </c>
      <c r="K9" s="32">
        <v>14775</v>
      </c>
      <c r="L9" s="32" t="s">
        <v>162</v>
      </c>
      <c r="M9" s="31">
        <f>IF(F9="electricity",0,VLOOKUP(L9,PL!H:L,2,FALSE))</f>
        <v>6410</v>
      </c>
      <c r="N9" s="31">
        <f>IF(F9="electricity",VLOOKUP(L9,PL!H:L,3,FALSE),0)</f>
        <v>0</v>
      </c>
      <c r="O9" s="31">
        <f>IF(F9="electricity",0,VLOOKUP(L9,PL!H:L,4,FALSE))</f>
        <v>6184</v>
      </c>
      <c r="P9" s="31">
        <f>IF(F9="electricity",VLOOKUP(L9,PL!H:L,5,FALSE),0)</f>
        <v>0</v>
      </c>
      <c r="Q9" s="30">
        <f t="shared" si="0"/>
        <v>0.96474258970358817</v>
      </c>
      <c r="R9" s="30">
        <f t="shared" si="1"/>
        <v>0</v>
      </c>
      <c r="S9" s="32">
        <f>VLOOKUP(E9,PL!A:C,3,FALSE)</f>
        <v>0</v>
      </c>
      <c r="T9" s="31">
        <f t="shared" si="2"/>
        <v>0</v>
      </c>
      <c r="U9" s="31">
        <f t="shared" si="3"/>
        <v>746564.72475000005</v>
      </c>
      <c r="V9" s="31">
        <f t="shared" si="4"/>
        <v>746564.72475000005</v>
      </c>
      <c r="W9" s="32">
        <f t="shared" si="9"/>
        <v>127.595</v>
      </c>
      <c r="X9" s="9" t="s">
        <v>131</v>
      </c>
      <c r="Y9" s="9" t="str">
        <f t="shared" si="10"/>
        <v>UMass Amherst (B100 Equivalent for Vehicles)</v>
      </c>
      <c r="Z9" s="5">
        <f t="shared" si="11"/>
        <v>746.5647247500001</v>
      </c>
      <c r="AA9" s="5">
        <f t="shared" si="12"/>
        <v>746.5647247500001</v>
      </c>
      <c r="AB9" s="9" t="str">
        <f t="shared" si="13"/>
        <v>UMass Amherst</v>
      </c>
      <c r="AC9" s="9" t="str">
        <f t="shared" si="14"/>
        <v>B100 Equivalent for Vehicles</v>
      </c>
      <c r="AD9" s="9" t="str">
        <f>VLOOKUP(AC9,PL!A:B,2,FALSE)</f>
        <v>Vehicle Fuels</v>
      </c>
    </row>
    <row r="10" spans="1:30" s="9" customFormat="1" x14ac:dyDescent="0.25">
      <c r="A10" s="52">
        <v>2002</v>
      </c>
      <c r="B10" s="53" t="s">
        <v>15</v>
      </c>
      <c r="C10" s="53" t="s">
        <v>16</v>
      </c>
      <c r="D10" s="53" t="s">
        <v>21</v>
      </c>
      <c r="E10" s="53" t="s">
        <v>17</v>
      </c>
      <c r="F10" s="53" t="s">
        <v>22</v>
      </c>
      <c r="G10" s="54">
        <v>27296</v>
      </c>
      <c r="H10" s="54">
        <v>551147184</v>
      </c>
      <c r="I10" s="55">
        <v>3150959.5381999998</v>
      </c>
      <c r="J10" s="53" t="s">
        <v>90</v>
      </c>
      <c r="K10" s="32">
        <v>14775</v>
      </c>
      <c r="L10" s="32" t="s">
        <v>163</v>
      </c>
      <c r="M10" s="31">
        <f>IF(F10="electricity",0,VLOOKUP(L10,PL!H:L,2,FALSE))</f>
        <v>4383</v>
      </c>
      <c r="N10" s="31">
        <f>IF(F10="electricity",VLOOKUP(L10,PL!H:L,3,FALSE),0)</f>
        <v>0</v>
      </c>
      <c r="O10" s="31">
        <f>IF(F10="electricity",0,VLOOKUP(L10,PL!H:L,4,FALSE))</f>
        <v>6184</v>
      </c>
      <c r="P10" s="31">
        <f>IF(F10="electricity",VLOOKUP(L10,PL!H:L,5,FALSE),0)</f>
        <v>0</v>
      </c>
      <c r="Q10" s="30">
        <f t="shared" si="0"/>
        <v>1.4109057723020761</v>
      </c>
      <c r="R10" s="30">
        <f t="shared" si="1"/>
        <v>0</v>
      </c>
      <c r="S10" s="32">
        <f>VLOOKUP(E10,PL!A:C,3,FALSE)</f>
        <v>0</v>
      </c>
      <c r="T10" s="31">
        <f t="shared" si="2"/>
        <v>0</v>
      </c>
      <c r="U10" s="31">
        <f t="shared" si="3"/>
        <v>551147184</v>
      </c>
      <c r="V10" s="31">
        <f t="shared" si="4"/>
        <v>551147184</v>
      </c>
      <c r="W10" s="32">
        <f t="shared" si="9"/>
        <v>20191.5</v>
      </c>
      <c r="X10" s="9" t="s">
        <v>131</v>
      </c>
      <c r="Y10" s="9" t="str">
        <f t="shared" si="10"/>
        <v>UMass Amherst (Bituminous Coal)</v>
      </c>
      <c r="Z10" s="5">
        <f t="shared" si="11"/>
        <v>551147.18400000001</v>
      </c>
      <c r="AA10" s="5">
        <f t="shared" si="12"/>
        <v>551147.18400000001</v>
      </c>
      <c r="AB10" s="9" t="str">
        <f t="shared" si="13"/>
        <v>UMass Amherst</v>
      </c>
      <c r="AC10" s="9" t="str">
        <f t="shared" si="14"/>
        <v>Bituminous Coal</v>
      </c>
      <c r="AD10" s="9" t="str">
        <f>VLOOKUP(AC10,PL!A:B,2,FALSE)</f>
        <v>Coal</v>
      </c>
    </row>
    <row r="11" spans="1:30" s="9" customFormat="1" x14ac:dyDescent="0.25">
      <c r="A11" s="52">
        <v>2003</v>
      </c>
      <c r="B11" s="53" t="s">
        <v>15</v>
      </c>
      <c r="C11" s="53" t="s">
        <v>16</v>
      </c>
      <c r="D11" s="53" t="s">
        <v>21</v>
      </c>
      <c r="E11" s="53" t="s">
        <v>17</v>
      </c>
      <c r="F11" s="53" t="s">
        <v>22</v>
      </c>
      <c r="G11" s="54">
        <v>40671</v>
      </c>
      <c r="H11" s="54">
        <v>821208496.5</v>
      </c>
      <c r="I11" s="55">
        <v>4694925.0944999997</v>
      </c>
      <c r="J11" s="53" t="s">
        <v>90</v>
      </c>
      <c r="K11" s="32">
        <v>14775</v>
      </c>
      <c r="L11" s="32" t="s">
        <v>164</v>
      </c>
      <c r="M11" s="31">
        <f>IF(F11="electricity",0,VLOOKUP(L11,PL!H:L,2,FALSE))</f>
        <v>5939</v>
      </c>
      <c r="N11" s="31">
        <f>IF(F11="electricity",VLOOKUP(L11,PL!H:L,3,FALSE),0)</f>
        <v>0</v>
      </c>
      <c r="O11" s="31">
        <f>IF(F11="electricity",0,VLOOKUP(L11,PL!H:L,4,FALSE))</f>
        <v>6184</v>
      </c>
      <c r="P11" s="31">
        <f>IF(F11="electricity",VLOOKUP(L11,PL!H:L,5,FALSE),0)</f>
        <v>0</v>
      </c>
      <c r="Q11" s="30">
        <f t="shared" si="0"/>
        <v>1.0412527361508672</v>
      </c>
      <c r="R11" s="30">
        <f t="shared" si="1"/>
        <v>0</v>
      </c>
      <c r="S11" s="32">
        <f>VLOOKUP(E11,PL!A:C,3,FALSE)</f>
        <v>0</v>
      </c>
      <c r="T11" s="31">
        <f t="shared" si="2"/>
        <v>0</v>
      </c>
      <c r="U11" s="31">
        <f t="shared" si="3"/>
        <v>821208496.5</v>
      </c>
      <c r="V11" s="31">
        <f t="shared" si="4"/>
        <v>821208496.5</v>
      </c>
      <c r="W11" s="32">
        <f t="shared" si="9"/>
        <v>20191.5</v>
      </c>
      <c r="X11" s="9" t="s">
        <v>131</v>
      </c>
      <c r="Y11" s="9" t="str">
        <f t="shared" si="10"/>
        <v>UMass Amherst (Bituminous Coal)</v>
      </c>
      <c r="Z11" s="5">
        <f t="shared" si="11"/>
        <v>821208.49650000001</v>
      </c>
      <c r="AA11" s="5">
        <f t="shared" si="12"/>
        <v>821208.49650000001</v>
      </c>
      <c r="AB11" s="9" t="str">
        <f t="shared" si="13"/>
        <v>UMass Amherst</v>
      </c>
      <c r="AC11" s="9" t="str">
        <f t="shared" si="14"/>
        <v>Bituminous Coal</v>
      </c>
      <c r="AD11" s="9" t="str">
        <f>VLOOKUP(AC11,PL!A:B,2,FALSE)</f>
        <v>Coal</v>
      </c>
    </row>
    <row r="12" spans="1:30" s="9" customFormat="1" x14ac:dyDescent="0.25">
      <c r="A12" s="52">
        <v>2004</v>
      </c>
      <c r="B12" s="53" t="s">
        <v>15</v>
      </c>
      <c r="C12" s="53" t="s">
        <v>16</v>
      </c>
      <c r="D12" s="53" t="s">
        <v>21</v>
      </c>
      <c r="E12" s="53" t="s">
        <v>17</v>
      </c>
      <c r="F12" s="53" t="s">
        <v>22</v>
      </c>
      <c r="G12" s="54">
        <v>42411</v>
      </c>
      <c r="H12" s="54">
        <v>856341706.5</v>
      </c>
      <c r="I12" s="55">
        <v>3390160.55</v>
      </c>
      <c r="J12" s="53" t="s">
        <v>90</v>
      </c>
      <c r="K12" s="32">
        <v>14775</v>
      </c>
      <c r="L12" s="32" t="s">
        <v>165</v>
      </c>
      <c r="M12" s="31">
        <f>IF(F12="electricity",0,VLOOKUP(L12,PL!H:L,2,FALSE))</f>
        <v>5939</v>
      </c>
      <c r="N12" s="31">
        <f>IF(F12="electricity",VLOOKUP(L12,PL!H:L,3,FALSE),0)</f>
        <v>0</v>
      </c>
      <c r="O12" s="31">
        <f>IF(F12="electricity",0,VLOOKUP(L12,PL!H:L,4,FALSE))</f>
        <v>6184</v>
      </c>
      <c r="P12" s="31">
        <f>IF(F12="electricity",VLOOKUP(L12,PL!H:L,5,FALSE),0)</f>
        <v>0</v>
      </c>
      <c r="Q12" s="30">
        <f t="shared" si="0"/>
        <v>1.0412527361508672</v>
      </c>
      <c r="R12" s="30">
        <f t="shared" si="1"/>
        <v>0</v>
      </c>
      <c r="S12" s="32">
        <f>VLOOKUP(E12,PL!A:C,3,FALSE)</f>
        <v>0</v>
      </c>
      <c r="T12" s="31">
        <f t="shared" si="2"/>
        <v>0</v>
      </c>
      <c r="U12" s="31">
        <f t="shared" si="3"/>
        <v>856341706.5</v>
      </c>
      <c r="V12" s="31">
        <f t="shared" si="4"/>
        <v>856341706.5</v>
      </c>
      <c r="W12" s="32">
        <f t="shared" si="9"/>
        <v>20191.5</v>
      </c>
      <c r="X12" s="9" t="s">
        <v>131</v>
      </c>
      <c r="Y12" s="9" t="str">
        <f t="shared" si="10"/>
        <v>UMass Amherst (Bituminous Coal)</v>
      </c>
      <c r="Z12" s="5">
        <f t="shared" si="11"/>
        <v>856341.70649999997</v>
      </c>
      <c r="AA12" s="5">
        <f t="shared" si="12"/>
        <v>856341.70649999997</v>
      </c>
      <c r="AB12" s="9" t="str">
        <f t="shared" si="13"/>
        <v>UMass Amherst</v>
      </c>
      <c r="AC12" s="9" t="str">
        <f t="shared" si="14"/>
        <v>Bituminous Coal</v>
      </c>
      <c r="AD12" s="9" t="str">
        <f>VLOOKUP(AC12,PL!A:B,2,FALSE)</f>
        <v>Coal</v>
      </c>
    </row>
    <row r="13" spans="1:30" s="9" customFormat="1" x14ac:dyDescent="0.25">
      <c r="A13" s="52">
        <v>2005</v>
      </c>
      <c r="B13" s="53" t="s">
        <v>15</v>
      </c>
      <c r="C13" s="53" t="s">
        <v>16</v>
      </c>
      <c r="D13" s="53" t="s">
        <v>21</v>
      </c>
      <c r="E13" s="53" t="s">
        <v>17</v>
      </c>
      <c r="F13" s="53" t="s">
        <v>22</v>
      </c>
      <c r="G13" s="54">
        <v>41223</v>
      </c>
      <c r="H13" s="54">
        <v>832354204.5</v>
      </c>
      <c r="I13" s="55">
        <v>5692465</v>
      </c>
      <c r="J13" s="53" t="s">
        <v>90</v>
      </c>
      <c r="K13" s="32">
        <v>14775</v>
      </c>
      <c r="L13" s="32" t="s">
        <v>166</v>
      </c>
      <c r="M13" s="31">
        <f>IF(F13="electricity",0,VLOOKUP(L13,PL!H:L,2,FALSE))</f>
        <v>6620</v>
      </c>
      <c r="N13" s="31">
        <f>IF(F13="electricity",VLOOKUP(L13,PL!H:L,3,FALSE),0)</f>
        <v>0</v>
      </c>
      <c r="O13" s="31">
        <f>IF(F13="electricity",0,VLOOKUP(L13,PL!H:L,4,FALSE))</f>
        <v>6184</v>
      </c>
      <c r="P13" s="31">
        <f>IF(F13="electricity",VLOOKUP(L13,PL!H:L,5,FALSE),0)</f>
        <v>0</v>
      </c>
      <c r="Q13" s="30">
        <f t="shared" si="0"/>
        <v>0.93413897280966762</v>
      </c>
      <c r="R13" s="30">
        <f t="shared" si="1"/>
        <v>0</v>
      </c>
      <c r="S13" s="32">
        <f>VLOOKUP(E13,PL!A:C,3,FALSE)</f>
        <v>0</v>
      </c>
      <c r="T13" s="31">
        <f t="shared" si="2"/>
        <v>0</v>
      </c>
      <c r="U13" s="31">
        <f t="shared" si="3"/>
        <v>832354204.5</v>
      </c>
      <c r="V13" s="31">
        <f t="shared" si="4"/>
        <v>832354204.5</v>
      </c>
      <c r="W13" s="32">
        <f t="shared" si="9"/>
        <v>20191.5</v>
      </c>
      <c r="X13" s="9" t="s">
        <v>131</v>
      </c>
      <c r="Y13" s="9" t="str">
        <f t="shared" si="10"/>
        <v>UMass Amherst (Bituminous Coal)</v>
      </c>
      <c r="Z13" s="5">
        <f t="shared" si="11"/>
        <v>832354.20449999999</v>
      </c>
      <c r="AA13" s="5">
        <f t="shared" si="12"/>
        <v>832354.20449999999</v>
      </c>
      <c r="AB13" s="9" t="str">
        <f t="shared" si="13"/>
        <v>UMass Amherst</v>
      </c>
      <c r="AC13" s="9" t="str">
        <f t="shared" si="14"/>
        <v>Bituminous Coal</v>
      </c>
      <c r="AD13" s="9" t="str">
        <f>VLOOKUP(AC13,PL!A:B,2,FALSE)</f>
        <v>Coal</v>
      </c>
    </row>
    <row r="14" spans="1:30" s="9" customFormat="1" x14ac:dyDescent="0.25">
      <c r="A14" s="52">
        <v>2006</v>
      </c>
      <c r="B14" s="53" t="s">
        <v>15</v>
      </c>
      <c r="C14" s="53" t="s">
        <v>16</v>
      </c>
      <c r="D14" s="53" t="s">
        <v>21</v>
      </c>
      <c r="E14" s="53" t="s">
        <v>17</v>
      </c>
      <c r="F14" s="53" t="s">
        <v>22</v>
      </c>
      <c r="G14" s="54">
        <v>31178</v>
      </c>
      <c r="H14" s="54">
        <v>629530587</v>
      </c>
      <c r="I14" s="55">
        <v>4163198</v>
      </c>
      <c r="J14" s="53" t="s">
        <v>90</v>
      </c>
      <c r="K14" s="32">
        <v>14775</v>
      </c>
      <c r="L14" s="32" t="s">
        <v>155</v>
      </c>
      <c r="M14" s="31">
        <f>IF(F14="electricity",0,VLOOKUP(L14,PL!H:L,2,FALSE))</f>
        <v>6087</v>
      </c>
      <c r="N14" s="31">
        <f>IF(F14="electricity",VLOOKUP(L14,PL!H:L,3,FALSE),0)</f>
        <v>0</v>
      </c>
      <c r="O14" s="31">
        <f>IF(F14="electricity",0,VLOOKUP(L14,PL!H:L,4,FALSE))</f>
        <v>6184</v>
      </c>
      <c r="P14" s="31">
        <f>IF(F14="electricity",VLOOKUP(L14,PL!H:L,5,FALSE),0)</f>
        <v>0</v>
      </c>
      <c r="Q14" s="30">
        <f t="shared" si="0"/>
        <v>1.0159356004599966</v>
      </c>
      <c r="R14" s="30">
        <f t="shared" si="1"/>
        <v>0</v>
      </c>
      <c r="S14" s="32">
        <f>VLOOKUP(E14,PL!A:C,3,FALSE)</f>
        <v>0</v>
      </c>
      <c r="T14" s="31">
        <f t="shared" si="2"/>
        <v>0</v>
      </c>
      <c r="U14" s="31">
        <f t="shared" si="3"/>
        <v>629530587</v>
      </c>
      <c r="V14" s="31">
        <f t="shared" si="4"/>
        <v>629530587</v>
      </c>
      <c r="W14" s="32">
        <f t="shared" si="9"/>
        <v>20191.5</v>
      </c>
      <c r="X14" s="9" t="s">
        <v>131</v>
      </c>
      <c r="Y14" s="9" t="str">
        <f t="shared" si="10"/>
        <v>UMass Amherst (Bituminous Coal)</v>
      </c>
      <c r="Z14" s="5">
        <f t="shared" si="11"/>
        <v>629530.58700000006</v>
      </c>
      <c r="AA14" s="5">
        <f t="shared" si="12"/>
        <v>629530.58700000006</v>
      </c>
      <c r="AB14" s="9" t="str">
        <f t="shared" si="13"/>
        <v>UMass Amherst</v>
      </c>
      <c r="AC14" s="9" t="str">
        <f t="shared" si="14"/>
        <v>Bituminous Coal</v>
      </c>
      <c r="AD14" s="9" t="str">
        <f>VLOOKUP(AC14,PL!A:B,2,FALSE)</f>
        <v>Coal</v>
      </c>
    </row>
    <row r="15" spans="1:30" s="9" customFormat="1" x14ac:dyDescent="0.25">
      <c r="A15" s="52">
        <v>2007</v>
      </c>
      <c r="B15" s="53" t="s">
        <v>15</v>
      </c>
      <c r="C15" s="53" t="s">
        <v>16</v>
      </c>
      <c r="D15" s="53" t="s">
        <v>21</v>
      </c>
      <c r="E15" s="53" t="s">
        <v>17</v>
      </c>
      <c r="F15" s="53" t="s">
        <v>22</v>
      </c>
      <c r="G15" s="54">
        <v>31831</v>
      </c>
      <c r="H15" s="54">
        <v>642715636.5</v>
      </c>
      <c r="I15" s="55">
        <v>3674464.8689000001</v>
      </c>
      <c r="J15" s="53" t="s">
        <v>90</v>
      </c>
      <c r="K15" s="32">
        <v>14775</v>
      </c>
      <c r="L15" s="32" t="s">
        <v>156</v>
      </c>
      <c r="M15" s="31">
        <f>IF(F15="electricity",0,VLOOKUP(L15,PL!H:L,2,FALSE))</f>
        <v>6216</v>
      </c>
      <c r="N15" s="31">
        <f>IF(F15="electricity",VLOOKUP(L15,PL!H:L,3,FALSE),0)</f>
        <v>0</v>
      </c>
      <c r="O15" s="31">
        <f>IF(F15="electricity",0,VLOOKUP(L15,PL!H:L,4,FALSE))</f>
        <v>6184</v>
      </c>
      <c r="P15" s="31">
        <f>IF(F15="electricity",VLOOKUP(L15,PL!H:L,5,FALSE),0)</f>
        <v>0</v>
      </c>
      <c r="Q15" s="30">
        <f t="shared" si="0"/>
        <v>0.99485199485199483</v>
      </c>
      <c r="R15" s="30">
        <f t="shared" si="1"/>
        <v>0</v>
      </c>
      <c r="S15" s="32">
        <f>VLOOKUP(E15,PL!A:C,3,FALSE)</f>
        <v>0</v>
      </c>
      <c r="T15" s="31">
        <f t="shared" si="2"/>
        <v>0</v>
      </c>
      <c r="U15" s="31">
        <f t="shared" si="3"/>
        <v>642715636.5</v>
      </c>
      <c r="V15" s="31">
        <f t="shared" si="4"/>
        <v>642715636.5</v>
      </c>
      <c r="W15" s="32">
        <f t="shared" si="9"/>
        <v>20191.5</v>
      </c>
      <c r="X15" s="9" t="s">
        <v>131</v>
      </c>
      <c r="Y15" s="9" t="str">
        <f t="shared" si="10"/>
        <v>UMass Amherst (Bituminous Coal)</v>
      </c>
      <c r="Z15" s="5">
        <f t="shared" si="11"/>
        <v>642715.63650000002</v>
      </c>
      <c r="AA15" s="5">
        <f t="shared" si="12"/>
        <v>642715.63650000002</v>
      </c>
      <c r="AB15" s="9" t="str">
        <f t="shared" si="13"/>
        <v>UMass Amherst</v>
      </c>
      <c r="AC15" s="9" t="str">
        <f t="shared" si="14"/>
        <v>Bituminous Coal</v>
      </c>
      <c r="AD15" s="9" t="str">
        <f>VLOOKUP(AC15,PL!A:B,2,FALSE)</f>
        <v>Coal</v>
      </c>
    </row>
    <row r="16" spans="1:30" s="9" customFormat="1" x14ac:dyDescent="0.25">
      <c r="A16" s="52">
        <v>2008</v>
      </c>
      <c r="B16" s="53" t="s">
        <v>15</v>
      </c>
      <c r="C16" s="53" t="s">
        <v>16</v>
      </c>
      <c r="D16" s="53" t="s">
        <v>21</v>
      </c>
      <c r="E16" s="53" t="s">
        <v>17</v>
      </c>
      <c r="F16" s="53" t="s">
        <v>22</v>
      </c>
      <c r="G16" s="54">
        <v>18088</v>
      </c>
      <c r="H16" s="54">
        <v>365223852</v>
      </c>
      <c r="I16" s="55">
        <v>2088018.6155000001</v>
      </c>
      <c r="J16" s="53" t="s">
        <v>90</v>
      </c>
      <c r="K16" s="32">
        <v>14775</v>
      </c>
      <c r="L16" s="32" t="s">
        <v>157</v>
      </c>
      <c r="M16" s="31">
        <f>IF(F16="electricity",0,VLOOKUP(L16,PL!H:L,2,FALSE))</f>
        <v>6357</v>
      </c>
      <c r="N16" s="31">
        <f>IF(F16="electricity",VLOOKUP(L16,PL!H:L,3,FALSE),0)</f>
        <v>0</v>
      </c>
      <c r="O16" s="31">
        <f>IF(F16="electricity",0,VLOOKUP(L16,PL!H:L,4,FALSE))</f>
        <v>6184</v>
      </c>
      <c r="P16" s="31">
        <f>IF(F16="electricity",VLOOKUP(L16,PL!H:L,5,FALSE),0)</f>
        <v>0</v>
      </c>
      <c r="Q16" s="30">
        <f t="shared" si="0"/>
        <v>0.97278590530124276</v>
      </c>
      <c r="R16" s="30">
        <f t="shared" si="1"/>
        <v>0</v>
      </c>
      <c r="S16" s="32">
        <f>VLOOKUP(E16,PL!A:C,3,FALSE)</f>
        <v>0</v>
      </c>
      <c r="T16" s="31">
        <f t="shared" si="2"/>
        <v>0</v>
      </c>
      <c r="U16" s="31">
        <f t="shared" si="3"/>
        <v>365223852</v>
      </c>
      <c r="V16" s="31">
        <f t="shared" si="4"/>
        <v>365223852</v>
      </c>
      <c r="W16" s="32">
        <f t="shared" si="9"/>
        <v>20191.5</v>
      </c>
      <c r="X16" s="9" t="s">
        <v>131</v>
      </c>
      <c r="Y16" s="9" t="str">
        <f t="shared" si="10"/>
        <v>UMass Amherst (Bituminous Coal)</v>
      </c>
      <c r="Z16" s="5">
        <f t="shared" si="11"/>
        <v>365223.85200000001</v>
      </c>
      <c r="AA16" s="5">
        <f t="shared" si="12"/>
        <v>365223.85200000001</v>
      </c>
      <c r="AB16" s="9" t="str">
        <f t="shared" si="13"/>
        <v>UMass Amherst</v>
      </c>
      <c r="AC16" s="9" t="str">
        <f t="shared" si="14"/>
        <v>Bituminous Coal</v>
      </c>
      <c r="AD16" s="9" t="str">
        <f>VLOOKUP(AC16,PL!A:B,2,FALSE)</f>
        <v>Coal</v>
      </c>
    </row>
    <row r="17" spans="1:30" s="9" customFormat="1" x14ac:dyDescent="0.25">
      <c r="A17" s="52">
        <v>2009</v>
      </c>
      <c r="B17" s="53" t="s">
        <v>15</v>
      </c>
      <c r="C17" s="53" t="s">
        <v>16</v>
      </c>
      <c r="D17" s="53" t="s">
        <v>21</v>
      </c>
      <c r="E17" s="53" t="s">
        <v>17</v>
      </c>
      <c r="F17" s="53" t="s">
        <v>22</v>
      </c>
      <c r="G17" s="54">
        <v>929</v>
      </c>
      <c r="H17" s="54">
        <v>18757903.5</v>
      </c>
      <c r="I17" s="55">
        <v>107240.673</v>
      </c>
      <c r="J17" s="53" t="s">
        <v>90</v>
      </c>
      <c r="K17" s="32">
        <v>14775</v>
      </c>
      <c r="L17" s="32" t="s">
        <v>158</v>
      </c>
      <c r="M17" s="31">
        <f>IF(F17="electricity",0,VLOOKUP(L17,PL!H:L,2,FALSE))</f>
        <v>6513</v>
      </c>
      <c r="N17" s="31">
        <f>IF(F17="electricity",VLOOKUP(L17,PL!H:L,3,FALSE),0)</f>
        <v>0</v>
      </c>
      <c r="O17" s="31">
        <f>IF(F17="electricity",0,VLOOKUP(L17,PL!H:L,4,FALSE))</f>
        <v>6184</v>
      </c>
      <c r="P17" s="31">
        <f>IF(F17="electricity",VLOOKUP(L17,PL!H:L,5,FALSE),0)</f>
        <v>0</v>
      </c>
      <c r="Q17" s="30">
        <f t="shared" si="0"/>
        <v>0.94948564409642255</v>
      </c>
      <c r="R17" s="30">
        <f t="shared" si="1"/>
        <v>0</v>
      </c>
      <c r="S17" s="32">
        <f>VLOOKUP(E17,PL!A:C,3,FALSE)</f>
        <v>0</v>
      </c>
      <c r="T17" s="31">
        <f t="shared" si="2"/>
        <v>0</v>
      </c>
      <c r="U17" s="31">
        <f t="shared" si="3"/>
        <v>18757903.5</v>
      </c>
      <c r="V17" s="31">
        <f t="shared" si="4"/>
        <v>18757903.5</v>
      </c>
      <c r="W17" s="32">
        <f t="shared" si="9"/>
        <v>20191.5</v>
      </c>
      <c r="X17" s="9" t="s">
        <v>131</v>
      </c>
      <c r="Y17" s="9" t="str">
        <f t="shared" si="10"/>
        <v>UMass Amherst (Bituminous Coal)</v>
      </c>
      <c r="Z17" s="5">
        <f t="shared" si="11"/>
        <v>18757.9035</v>
      </c>
      <c r="AA17" s="5">
        <f t="shared" si="12"/>
        <v>18757.9035</v>
      </c>
      <c r="AB17" s="9" t="str">
        <f t="shared" si="13"/>
        <v>UMass Amherst</v>
      </c>
      <c r="AC17" s="9" t="str">
        <f t="shared" si="14"/>
        <v>Bituminous Coal</v>
      </c>
      <c r="AD17" s="9" t="str">
        <f>VLOOKUP(AC17,PL!A:B,2,FALSE)</f>
        <v>Coal</v>
      </c>
    </row>
    <row r="18" spans="1:30" s="9" customFormat="1" x14ac:dyDescent="0.25">
      <c r="A18" s="52">
        <v>2002</v>
      </c>
      <c r="B18" s="53" t="s">
        <v>15</v>
      </c>
      <c r="C18" s="53" t="s">
        <v>16</v>
      </c>
      <c r="D18" s="53" t="s">
        <v>25</v>
      </c>
      <c r="E18" s="53" t="s">
        <v>23</v>
      </c>
      <c r="F18" s="53" t="s">
        <v>26</v>
      </c>
      <c r="G18" s="54">
        <v>62736</v>
      </c>
      <c r="H18" s="54">
        <v>8700885.7148832008</v>
      </c>
      <c r="I18" s="55">
        <v>76355.2019</v>
      </c>
      <c r="J18" s="53" t="s">
        <v>90</v>
      </c>
      <c r="K18" s="32">
        <v>14775</v>
      </c>
      <c r="L18" s="32" t="s">
        <v>163</v>
      </c>
      <c r="M18" s="31">
        <f>IF(F18="electricity",0,VLOOKUP(L18,PL!H:L,2,FALSE))</f>
        <v>4383</v>
      </c>
      <c r="N18" s="31">
        <f>IF(F18="electricity",VLOOKUP(L18,PL!H:L,3,FALSE),0)</f>
        <v>0</v>
      </c>
      <c r="O18" s="31">
        <f>IF(F18="electricity",0,VLOOKUP(L18,PL!H:L,4,FALSE))</f>
        <v>6184</v>
      </c>
      <c r="P18" s="31">
        <f>IF(F18="electricity",VLOOKUP(L18,PL!H:L,5,FALSE),0)</f>
        <v>0</v>
      </c>
      <c r="Q18" s="30">
        <f t="shared" si="0"/>
        <v>1.4109057723020761</v>
      </c>
      <c r="R18" s="30">
        <f t="shared" si="1"/>
        <v>0</v>
      </c>
      <c r="S18" s="32">
        <f>VLOOKUP(E18,PL!A:C,3,FALSE)</f>
        <v>0</v>
      </c>
      <c r="T18" s="31">
        <f t="shared" si="2"/>
        <v>0</v>
      </c>
      <c r="U18" s="31">
        <f t="shared" si="3"/>
        <v>8700885.7148832008</v>
      </c>
      <c r="V18" s="31">
        <f t="shared" si="4"/>
        <v>8700885.7148832008</v>
      </c>
      <c r="W18" s="32">
        <f t="shared" si="9"/>
        <v>138.69047620000001</v>
      </c>
      <c r="X18" s="9" t="s">
        <v>131</v>
      </c>
      <c r="Y18" s="9" t="str">
        <f t="shared" si="10"/>
        <v>UMass Amherst (Diesel for Vehicles)</v>
      </c>
      <c r="Z18" s="5">
        <f t="shared" si="11"/>
        <v>8700.8857148832012</v>
      </c>
      <c r="AA18" s="5">
        <f t="shared" si="12"/>
        <v>8700.8857148832012</v>
      </c>
      <c r="AB18" s="9" t="str">
        <f t="shared" si="13"/>
        <v>UMass Amherst</v>
      </c>
      <c r="AC18" s="9" t="str">
        <f t="shared" si="14"/>
        <v>Diesel for Vehicles</v>
      </c>
      <c r="AD18" s="9" t="str">
        <f>VLOOKUP(AC18,PL!A:B,2,FALSE)</f>
        <v>Vehicle Fuels</v>
      </c>
    </row>
    <row r="19" spans="1:30" s="9" customFormat="1" x14ac:dyDescent="0.25">
      <c r="A19" s="52">
        <v>2003</v>
      </c>
      <c r="B19" s="53" t="s">
        <v>15</v>
      </c>
      <c r="C19" s="53" t="s">
        <v>16</v>
      </c>
      <c r="D19" s="53" t="s">
        <v>25</v>
      </c>
      <c r="E19" s="53" t="s">
        <v>23</v>
      </c>
      <c r="F19" s="53" t="s">
        <v>26</v>
      </c>
      <c r="G19" s="54">
        <v>36804</v>
      </c>
      <c r="H19" s="54">
        <v>5104364.2860647999</v>
      </c>
      <c r="I19" s="55">
        <v>49498.973899999997</v>
      </c>
      <c r="J19" s="53" t="s">
        <v>90</v>
      </c>
      <c r="K19" s="32">
        <v>14775</v>
      </c>
      <c r="L19" s="32" t="s">
        <v>164</v>
      </c>
      <c r="M19" s="31">
        <f>IF(F19="electricity",0,VLOOKUP(L19,PL!H:L,2,FALSE))</f>
        <v>5939</v>
      </c>
      <c r="N19" s="31">
        <f>IF(F19="electricity",VLOOKUP(L19,PL!H:L,3,FALSE),0)</f>
        <v>0</v>
      </c>
      <c r="O19" s="31">
        <f>IF(F19="electricity",0,VLOOKUP(L19,PL!H:L,4,FALSE))</f>
        <v>6184</v>
      </c>
      <c r="P19" s="31">
        <f>IF(F19="electricity",VLOOKUP(L19,PL!H:L,5,FALSE),0)</f>
        <v>0</v>
      </c>
      <c r="Q19" s="30">
        <f t="shared" si="0"/>
        <v>1.0412527361508672</v>
      </c>
      <c r="R19" s="30">
        <f t="shared" si="1"/>
        <v>0</v>
      </c>
      <c r="S19" s="32">
        <f>VLOOKUP(E19,PL!A:C,3,FALSE)</f>
        <v>0</v>
      </c>
      <c r="T19" s="31">
        <f t="shared" si="2"/>
        <v>0</v>
      </c>
      <c r="U19" s="31">
        <f t="shared" si="3"/>
        <v>5104364.2860647999</v>
      </c>
      <c r="V19" s="31">
        <f t="shared" si="4"/>
        <v>5104364.2860647999</v>
      </c>
      <c r="W19" s="32">
        <f t="shared" si="9"/>
        <v>138.69047620000001</v>
      </c>
      <c r="X19" s="9" t="s">
        <v>131</v>
      </c>
      <c r="Y19" s="9" t="str">
        <f t="shared" si="10"/>
        <v>UMass Amherst (Diesel for Vehicles)</v>
      </c>
      <c r="Z19" s="5">
        <f t="shared" si="11"/>
        <v>5104.3642860647997</v>
      </c>
      <c r="AA19" s="5">
        <f t="shared" si="12"/>
        <v>5104.3642860647997</v>
      </c>
      <c r="AB19" s="9" t="str">
        <f t="shared" si="13"/>
        <v>UMass Amherst</v>
      </c>
      <c r="AC19" s="9" t="str">
        <f t="shared" si="14"/>
        <v>Diesel for Vehicles</v>
      </c>
      <c r="AD19" s="9" t="str">
        <f>VLOOKUP(AC19,PL!A:B,2,FALSE)</f>
        <v>Vehicle Fuels</v>
      </c>
    </row>
    <row r="20" spans="1:30" s="9" customFormat="1" x14ac:dyDescent="0.25">
      <c r="A20" s="52">
        <v>2004</v>
      </c>
      <c r="B20" s="53" t="s">
        <v>15</v>
      </c>
      <c r="C20" s="53" t="s">
        <v>16</v>
      </c>
      <c r="D20" s="53" t="s">
        <v>25</v>
      </c>
      <c r="E20" s="53" t="s">
        <v>23</v>
      </c>
      <c r="F20" s="53" t="s">
        <v>26</v>
      </c>
      <c r="G20" s="54">
        <v>41549</v>
      </c>
      <c r="H20" s="54">
        <v>5762450.5956338001</v>
      </c>
      <c r="I20" s="55">
        <v>65998</v>
      </c>
      <c r="J20" s="53" t="s">
        <v>90</v>
      </c>
      <c r="K20" s="32">
        <v>14775</v>
      </c>
      <c r="L20" s="32" t="s">
        <v>165</v>
      </c>
      <c r="M20" s="31">
        <f>IF(F20="electricity",0,VLOOKUP(L20,PL!H:L,2,FALSE))</f>
        <v>5939</v>
      </c>
      <c r="N20" s="31">
        <f>IF(F20="electricity",VLOOKUP(L20,PL!H:L,3,FALSE),0)</f>
        <v>0</v>
      </c>
      <c r="O20" s="31">
        <f>IF(F20="electricity",0,VLOOKUP(L20,PL!H:L,4,FALSE))</f>
        <v>6184</v>
      </c>
      <c r="P20" s="31">
        <f>IF(F20="electricity",VLOOKUP(L20,PL!H:L,5,FALSE),0)</f>
        <v>0</v>
      </c>
      <c r="Q20" s="30">
        <f t="shared" si="0"/>
        <v>1.0412527361508672</v>
      </c>
      <c r="R20" s="30">
        <f t="shared" si="1"/>
        <v>0</v>
      </c>
      <c r="S20" s="32">
        <f>VLOOKUP(E20,PL!A:C,3,FALSE)</f>
        <v>0</v>
      </c>
      <c r="T20" s="31">
        <f t="shared" si="2"/>
        <v>0</v>
      </c>
      <c r="U20" s="31">
        <f t="shared" si="3"/>
        <v>5762450.5956338001</v>
      </c>
      <c r="V20" s="31">
        <f t="shared" si="4"/>
        <v>5762450.5956338001</v>
      </c>
      <c r="W20" s="32">
        <f t="shared" si="9"/>
        <v>138.69047620000001</v>
      </c>
      <c r="X20" s="9" t="s">
        <v>131</v>
      </c>
      <c r="Y20" s="9" t="str">
        <f t="shared" si="10"/>
        <v>UMass Amherst (Diesel for Vehicles)</v>
      </c>
      <c r="Z20" s="5">
        <f t="shared" si="11"/>
        <v>5762.4505956337998</v>
      </c>
      <c r="AA20" s="5">
        <f t="shared" si="12"/>
        <v>5762.4505956337998</v>
      </c>
      <c r="AB20" s="9" t="str">
        <f t="shared" si="13"/>
        <v>UMass Amherst</v>
      </c>
      <c r="AC20" s="9" t="str">
        <f t="shared" si="14"/>
        <v>Diesel for Vehicles</v>
      </c>
      <c r="AD20" s="9" t="str">
        <f>VLOOKUP(AC20,PL!A:B,2,FALSE)</f>
        <v>Vehicle Fuels</v>
      </c>
    </row>
    <row r="21" spans="1:30" s="9" customFormat="1" x14ac:dyDescent="0.25">
      <c r="A21" s="52">
        <v>2005</v>
      </c>
      <c r="B21" s="53" t="s">
        <v>15</v>
      </c>
      <c r="C21" s="53" t="s">
        <v>16</v>
      </c>
      <c r="D21" s="53" t="s">
        <v>25</v>
      </c>
      <c r="E21" s="53" t="s">
        <v>23</v>
      </c>
      <c r="F21" s="53" t="s">
        <v>26</v>
      </c>
      <c r="G21" s="54">
        <v>46622</v>
      </c>
      <c r="H21" s="54">
        <v>6466027.3813964007</v>
      </c>
      <c r="I21" s="55">
        <v>86868</v>
      </c>
      <c r="J21" s="53" t="s">
        <v>90</v>
      </c>
      <c r="K21" s="32">
        <v>14775</v>
      </c>
      <c r="L21" s="32" t="s">
        <v>166</v>
      </c>
      <c r="M21" s="31">
        <f>IF(F21="electricity",0,VLOOKUP(L21,PL!H:L,2,FALSE))</f>
        <v>6620</v>
      </c>
      <c r="N21" s="31">
        <f>IF(F21="electricity",VLOOKUP(L21,PL!H:L,3,FALSE),0)</f>
        <v>0</v>
      </c>
      <c r="O21" s="31">
        <f>IF(F21="electricity",0,VLOOKUP(L21,PL!H:L,4,FALSE))</f>
        <v>6184</v>
      </c>
      <c r="P21" s="31">
        <f>IF(F21="electricity",VLOOKUP(L21,PL!H:L,5,FALSE),0)</f>
        <v>0</v>
      </c>
      <c r="Q21" s="30">
        <f t="shared" si="0"/>
        <v>0.93413897280966762</v>
      </c>
      <c r="R21" s="30">
        <f t="shared" si="1"/>
        <v>0</v>
      </c>
      <c r="S21" s="32">
        <f>VLOOKUP(E21,PL!A:C,3,FALSE)</f>
        <v>0</v>
      </c>
      <c r="T21" s="31">
        <f t="shared" si="2"/>
        <v>0</v>
      </c>
      <c r="U21" s="31">
        <f t="shared" si="3"/>
        <v>6466027.3813964007</v>
      </c>
      <c r="V21" s="31">
        <f t="shared" si="4"/>
        <v>6466027.3813964007</v>
      </c>
      <c r="W21" s="32">
        <f t="shared" si="9"/>
        <v>138.69047620000001</v>
      </c>
      <c r="X21" s="9" t="s">
        <v>131</v>
      </c>
      <c r="Y21" s="9" t="str">
        <f t="shared" si="10"/>
        <v>UMass Amherst (Diesel for Vehicles)</v>
      </c>
      <c r="Z21" s="5">
        <f t="shared" si="11"/>
        <v>6466.0273813964004</v>
      </c>
      <c r="AA21" s="5">
        <f t="shared" si="12"/>
        <v>6466.0273813964004</v>
      </c>
      <c r="AB21" s="9" t="str">
        <f t="shared" si="13"/>
        <v>UMass Amherst</v>
      </c>
      <c r="AC21" s="9" t="str">
        <f t="shared" si="14"/>
        <v>Diesel for Vehicles</v>
      </c>
      <c r="AD21" s="9" t="str">
        <f>VLOOKUP(AC21,PL!A:B,2,FALSE)</f>
        <v>Vehicle Fuels</v>
      </c>
    </row>
    <row r="22" spans="1:30" s="9" customFormat="1" x14ac:dyDescent="0.25">
      <c r="A22" s="52">
        <v>2006</v>
      </c>
      <c r="B22" s="53" t="s">
        <v>15</v>
      </c>
      <c r="C22" s="53" t="s">
        <v>16</v>
      </c>
      <c r="D22" s="53" t="s">
        <v>25</v>
      </c>
      <c r="E22" s="53" t="s">
        <v>23</v>
      </c>
      <c r="F22" s="53" t="s">
        <v>26</v>
      </c>
      <c r="G22" s="54">
        <v>38615</v>
      </c>
      <c r="H22" s="54">
        <v>5355532.7384630004</v>
      </c>
      <c r="I22" s="55">
        <v>94895</v>
      </c>
      <c r="J22" s="53" t="s">
        <v>90</v>
      </c>
      <c r="K22" s="32">
        <v>14775</v>
      </c>
      <c r="L22" s="32" t="s">
        <v>155</v>
      </c>
      <c r="M22" s="31">
        <f>IF(F22="electricity",0,VLOOKUP(L22,PL!H:L,2,FALSE))</f>
        <v>6087</v>
      </c>
      <c r="N22" s="31">
        <f>IF(F22="electricity",VLOOKUP(L22,PL!H:L,3,FALSE),0)</f>
        <v>0</v>
      </c>
      <c r="O22" s="31">
        <f>IF(F22="electricity",0,VLOOKUP(L22,PL!H:L,4,FALSE))</f>
        <v>6184</v>
      </c>
      <c r="P22" s="31">
        <f>IF(F22="electricity",VLOOKUP(L22,PL!H:L,5,FALSE),0)</f>
        <v>0</v>
      </c>
      <c r="Q22" s="30">
        <f t="shared" si="0"/>
        <v>1.0159356004599966</v>
      </c>
      <c r="R22" s="30">
        <f t="shared" si="1"/>
        <v>0</v>
      </c>
      <c r="S22" s="32">
        <f>VLOOKUP(E22,PL!A:C,3,FALSE)</f>
        <v>0</v>
      </c>
      <c r="T22" s="31">
        <f t="shared" si="2"/>
        <v>0</v>
      </c>
      <c r="U22" s="31">
        <f t="shared" si="3"/>
        <v>5355532.7384630004</v>
      </c>
      <c r="V22" s="31">
        <f t="shared" si="4"/>
        <v>5355532.7384630004</v>
      </c>
      <c r="W22" s="32">
        <f t="shared" si="9"/>
        <v>138.69047620000001</v>
      </c>
      <c r="X22" s="9" t="s">
        <v>131</v>
      </c>
      <c r="Y22" s="9" t="str">
        <f t="shared" si="10"/>
        <v>UMass Amherst (Diesel for Vehicles)</v>
      </c>
      <c r="Z22" s="5">
        <f t="shared" si="11"/>
        <v>5355.532738463</v>
      </c>
      <c r="AA22" s="5">
        <f t="shared" si="12"/>
        <v>5355.532738463</v>
      </c>
      <c r="AB22" s="9" t="str">
        <f t="shared" si="13"/>
        <v>UMass Amherst</v>
      </c>
      <c r="AC22" s="9" t="str">
        <f t="shared" si="14"/>
        <v>Diesel for Vehicles</v>
      </c>
      <c r="AD22" s="9" t="str">
        <f>VLOOKUP(AC22,PL!A:B,2,FALSE)</f>
        <v>Vehicle Fuels</v>
      </c>
    </row>
    <row r="23" spans="1:30" s="9" customFormat="1" x14ac:dyDescent="0.25">
      <c r="A23" s="52">
        <v>2007</v>
      </c>
      <c r="B23" s="53" t="s">
        <v>15</v>
      </c>
      <c r="C23" s="53" t="s">
        <v>16</v>
      </c>
      <c r="D23" s="53" t="s">
        <v>25</v>
      </c>
      <c r="E23" s="53" t="s">
        <v>23</v>
      </c>
      <c r="F23" s="53" t="s">
        <v>26</v>
      </c>
      <c r="G23" s="54">
        <v>41810</v>
      </c>
      <c r="H23" s="54">
        <v>5798648.8099220004</v>
      </c>
      <c r="I23" s="55">
        <v>85392.555699999997</v>
      </c>
      <c r="J23" s="53" t="s">
        <v>90</v>
      </c>
      <c r="K23" s="32">
        <v>14775</v>
      </c>
      <c r="L23" s="32" t="s">
        <v>156</v>
      </c>
      <c r="M23" s="31">
        <f>IF(F23="electricity",0,VLOOKUP(L23,PL!H:L,2,FALSE))</f>
        <v>6216</v>
      </c>
      <c r="N23" s="31">
        <f>IF(F23="electricity",VLOOKUP(L23,PL!H:L,3,FALSE),0)</f>
        <v>0</v>
      </c>
      <c r="O23" s="31">
        <f>IF(F23="electricity",0,VLOOKUP(L23,PL!H:L,4,FALSE))</f>
        <v>6184</v>
      </c>
      <c r="P23" s="31">
        <f>IF(F23="electricity",VLOOKUP(L23,PL!H:L,5,FALSE),0)</f>
        <v>0</v>
      </c>
      <c r="Q23" s="30">
        <f t="shared" si="0"/>
        <v>0.99485199485199483</v>
      </c>
      <c r="R23" s="30">
        <f t="shared" si="1"/>
        <v>0</v>
      </c>
      <c r="S23" s="32">
        <f>VLOOKUP(E23,PL!A:C,3,FALSE)</f>
        <v>0</v>
      </c>
      <c r="T23" s="31">
        <f t="shared" si="2"/>
        <v>0</v>
      </c>
      <c r="U23" s="31">
        <f t="shared" si="3"/>
        <v>5798648.8099220004</v>
      </c>
      <c r="V23" s="31">
        <f t="shared" si="4"/>
        <v>5798648.8099220004</v>
      </c>
      <c r="W23" s="32">
        <f t="shared" si="9"/>
        <v>138.69047620000001</v>
      </c>
      <c r="X23" s="9" t="s">
        <v>131</v>
      </c>
      <c r="Y23" s="9" t="str">
        <f t="shared" si="10"/>
        <v>UMass Amherst (Diesel for Vehicles)</v>
      </c>
      <c r="Z23" s="5">
        <f t="shared" si="11"/>
        <v>5798.6488099220005</v>
      </c>
      <c r="AA23" s="5">
        <f t="shared" si="12"/>
        <v>5798.6488099220005</v>
      </c>
      <c r="AB23" s="9" t="str">
        <f t="shared" si="13"/>
        <v>UMass Amherst</v>
      </c>
      <c r="AC23" s="9" t="str">
        <f t="shared" si="14"/>
        <v>Diesel for Vehicles</v>
      </c>
      <c r="AD23" s="9" t="str">
        <f>VLOOKUP(AC23,PL!A:B,2,FALSE)</f>
        <v>Vehicle Fuels</v>
      </c>
    </row>
    <row r="24" spans="1:30" s="9" customFormat="1" x14ac:dyDescent="0.25">
      <c r="A24" s="52">
        <v>2008</v>
      </c>
      <c r="B24" s="53" t="s">
        <v>15</v>
      </c>
      <c r="C24" s="53" t="s">
        <v>16</v>
      </c>
      <c r="D24" s="53" t="s">
        <v>25</v>
      </c>
      <c r="E24" s="53" t="s">
        <v>23</v>
      </c>
      <c r="F24" s="53" t="s">
        <v>26</v>
      </c>
      <c r="G24" s="54">
        <v>41420</v>
      </c>
      <c r="H24" s="54">
        <v>5744559.5242039999</v>
      </c>
      <c r="I24" s="55">
        <v>141175.22990000001</v>
      </c>
      <c r="J24" s="53" t="s">
        <v>90</v>
      </c>
      <c r="K24" s="32">
        <v>14775</v>
      </c>
      <c r="L24" s="32" t="s">
        <v>157</v>
      </c>
      <c r="M24" s="31">
        <f>IF(F24="electricity",0,VLOOKUP(L24,PL!H:L,2,FALSE))</f>
        <v>6357</v>
      </c>
      <c r="N24" s="31">
        <f>IF(F24="electricity",VLOOKUP(L24,PL!H:L,3,FALSE),0)</f>
        <v>0</v>
      </c>
      <c r="O24" s="31">
        <f>IF(F24="electricity",0,VLOOKUP(L24,PL!H:L,4,FALSE))</f>
        <v>6184</v>
      </c>
      <c r="P24" s="31">
        <f>IF(F24="electricity",VLOOKUP(L24,PL!H:L,5,FALSE),0)</f>
        <v>0</v>
      </c>
      <c r="Q24" s="30">
        <f t="shared" si="0"/>
        <v>0.97278590530124276</v>
      </c>
      <c r="R24" s="30">
        <f t="shared" si="1"/>
        <v>0</v>
      </c>
      <c r="S24" s="32">
        <f>VLOOKUP(E24,PL!A:C,3,FALSE)</f>
        <v>0</v>
      </c>
      <c r="T24" s="31">
        <f t="shared" si="2"/>
        <v>0</v>
      </c>
      <c r="U24" s="31">
        <f t="shared" si="3"/>
        <v>5744559.5242039999</v>
      </c>
      <c r="V24" s="31">
        <f t="shared" si="4"/>
        <v>5744559.5242039999</v>
      </c>
      <c r="W24" s="32">
        <f t="shared" si="9"/>
        <v>138.69047620000001</v>
      </c>
      <c r="X24" s="9" t="s">
        <v>131</v>
      </c>
      <c r="Y24" s="9" t="str">
        <f t="shared" si="10"/>
        <v>UMass Amherst (Diesel for Vehicles)</v>
      </c>
      <c r="Z24" s="5">
        <f t="shared" si="11"/>
        <v>5744.5595242039999</v>
      </c>
      <c r="AA24" s="5">
        <f t="shared" si="12"/>
        <v>5744.5595242039999</v>
      </c>
      <c r="AB24" s="9" t="str">
        <f t="shared" si="13"/>
        <v>UMass Amherst</v>
      </c>
      <c r="AC24" s="9" t="str">
        <f t="shared" si="14"/>
        <v>Diesel for Vehicles</v>
      </c>
      <c r="AD24" s="9" t="str">
        <f>VLOOKUP(AC24,PL!A:B,2,FALSE)</f>
        <v>Vehicle Fuels</v>
      </c>
    </row>
    <row r="25" spans="1:30" s="9" customFormat="1" x14ac:dyDescent="0.25">
      <c r="A25" s="52">
        <v>2009</v>
      </c>
      <c r="B25" s="53" t="s">
        <v>15</v>
      </c>
      <c r="C25" s="53" t="s">
        <v>16</v>
      </c>
      <c r="D25" s="53" t="s">
        <v>25</v>
      </c>
      <c r="E25" s="53" t="s">
        <v>23</v>
      </c>
      <c r="F25" s="53" t="s">
        <v>26</v>
      </c>
      <c r="G25" s="54">
        <v>43205</v>
      </c>
      <c r="H25" s="54">
        <v>5992122.0242210003</v>
      </c>
      <c r="I25" s="55">
        <v>94702.420199999993</v>
      </c>
      <c r="J25" s="53" t="s">
        <v>90</v>
      </c>
      <c r="K25" s="32">
        <v>14775</v>
      </c>
      <c r="L25" s="32" t="s">
        <v>158</v>
      </c>
      <c r="M25" s="31">
        <f>IF(F25="electricity",0,VLOOKUP(L25,PL!H:L,2,FALSE))</f>
        <v>6513</v>
      </c>
      <c r="N25" s="31">
        <f>IF(F25="electricity",VLOOKUP(L25,PL!H:L,3,FALSE),0)</f>
        <v>0</v>
      </c>
      <c r="O25" s="31">
        <f>IF(F25="electricity",0,VLOOKUP(L25,PL!H:L,4,FALSE))</f>
        <v>6184</v>
      </c>
      <c r="P25" s="31">
        <f>IF(F25="electricity",VLOOKUP(L25,PL!H:L,5,FALSE),0)</f>
        <v>0</v>
      </c>
      <c r="Q25" s="30">
        <f t="shared" si="0"/>
        <v>0.94948564409642255</v>
      </c>
      <c r="R25" s="30">
        <f t="shared" si="1"/>
        <v>0</v>
      </c>
      <c r="S25" s="32">
        <f>VLOOKUP(E25,PL!A:C,3,FALSE)</f>
        <v>0</v>
      </c>
      <c r="T25" s="31">
        <f t="shared" si="2"/>
        <v>0</v>
      </c>
      <c r="U25" s="31">
        <f t="shared" si="3"/>
        <v>5992122.0242210003</v>
      </c>
      <c r="V25" s="31">
        <f t="shared" si="4"/>
        <v>5992122.0242210003</v>
      </c>
      <c r="W25" s="32">
        <f t="shared" si="9"/>
        <v>138.69047620000001</v>
      </c>
      <c r="X25" s="9" t="s">
        <v>131</v>
      </c>
      <c r="Y25" s="9" t="str">
        <f t="shared" si="10"/>
        <v>UMass Amherst (Diesel for Vehicles)</v>
      </c>
      <c r="Z25" s="5">
        <f t="shared" si="11"/>
        <v>5992.1220242210002</v>
      </c>
      <c r="AA25" s="5">
        <f t="shared" si="12"/>
        <v>5992.1220242210002</v>
      </c>
      <c r="AB25" s="9" t="str">
        <f t="shared" si="13"/>
        <v>UMass Amherst</v>
      </c>
      <c r="AC25" s="9" t="str">
        <f t="shared" si="14"/>
        <v>Diesel for Vehicles</v>
      </c>
      <c r="AD25" s="9" t="str">
        <f>VLOOKUP(AC25,PL!A:B,2,FALSE)</f>
        <v>Vehicle Fuels</v>
      </c>
    </row>
    <row r="26" spans="1:30" s="9" customFormat="1" x14ac:dyDescent="0.25">
      <c r="A26" s="52">
        <v>2010</v>
      </c>
      <c r="B26" s="53" t="s">
        <v>15</v>
      </c>
      <c r="C26" s="53" t="s">
        <v>16</v>
      </c>
      <c r="D26" s="53" t="s">
        <v>25</v>
      </c>
      <c r="E26" s="53" t="s">
        <v>23</v>
      </c>
      <c r="F26" s="53" t="s">
        <v>26</v>
      </c>
      <c r="G26" s="54">
        <v>35000</v>
      </c>
      <c r="H26" s="54">
        <v>4854166.6670000004</v>
      </c>
      <c r="I26" s="55">
        <v>80558.797500000001</v>
      </c>
      <c r="J26" s="53" t="s">
        <v>90</v>
      </c>
      <c r="K26" s="32">
        <v>14775</v>
      </c>
      <c r="L26" s="32" t="s">
        <v>159</v>
      </c>
      <c r="M26" s="31">
        <f>IF(F26="electricity",0,VLOOKUP(L26,PL!H:L,2,FALSE))</f>
        <v>5785</v>
      </c>
      <c r="N26" s="31">
        <f>IF(F26="electricity",VLOOKUP(L26,PL!H:L,3,FALSE),0)</f>
        <v>0</v>
      </c>
      <c r="O26" s="31">
        <f>IF(F26="electricity",0,VLOOKUP(L26,PL!H:L,4,FALSE))</f>
        <v>6184</v>
      </c>
      <c r="P26" s="31">
        <f>IF(F26="electricity",VLOOKUP(L26,PL!H:L,5,FALSE),0)</f>
        <v>0</v>
      </c>
      <c r="Q26" s="30">
        <f t="shared" si="0"/>
        <v>1.0689714779602419</v>
      </c>
      <c r="R26" s="30">
        <f t="shared" si="1"/>
        <v>0</v>
      </c>
      <c r="S26" s="32">
        <f>VLOOKUP(E26,PL!A:C,3,FALSE)</f>
        <v>0</v>
      </c>
      <c r="T26" s="31">
        <f t="shared" si="2"/>
        <v>0</v>
      </c>
      <c r="U26" s="31">
        <f t="shared" si="3"/>
        <v>4854166.6670000004</v>
      </c>
      <c r="V26" s="31">
        <f t="shared" si="4"/>
        <v>4854166.6670000004</v>
      </c>
      <c r="W26" s="32">
        <f t="shared" si="9"/>
        <v>138.69047620000001</v>
      </c>
      <c r="X26" s="9" t="s">
        <v>131</v>
      </c>
      <c r="Y26" s="9" t="str">
        <f t="shared" si="10"/>
        <v>UMass Amherst (Diesel for Vehicles)</v>
      </c>
      <c r="Z26" s="5">
        <f t="shared" si="11"/>
        <v>4854.1666670000004</v>
      </c>
      <c r="AA26" s="5">
        <f t="shared" si="12"/>
        <v>4854.1666670000004</v>
      </c>
      <c r="AB26" s="9" t="str">
        <f t="shared" si="13"/>
        <v>UMass Amherst</v>
      </c>
      <c r="AC26" s="9" t="str">
        <f t="shared" si="14"/>
        <v>Diesel for Vehicles</v>
      </c>
      <c r="AD26" s="9" t="str">
        <f>VLOOKUP(AC26,PL!A:B,2,FALSE)</f>
        <v>Vehicle Fuels</v>
      </c>
    </row>
    <row r="27" spans="1:30" s="9" customFormat="1" x14ac:dyDescent="0.25">
      <c r="A27" s="52">
        <v>2011</v>
      </c>
      <c r="B27" s="53" t="s">
        <v>15</v>
      </c>
      <c r="C27" s="53" t="s">
        <v>16</v>
      </c>
      <c r="D27" s="53" t="s">
        <v>25</v>
      </c>
      <c r="E27" s="53" t="s">
        <v>23</v>
      </c>
      <c r="F27" s="53" t="s">
        <v>26</v>
      </c>
      <c r="G27" s="54">
        <v>41158.999999999993</v>
      </c>
      <c r="H27" s="54">
        <v>5708361.3099157996</v>
      </c>
      <c r="I27" s="55">
        <v>115099.1228</v>
      </c>
      <c r="J27" s="53" t="s">
        <v>90</v>
      </c>
      <c r="K27" s="32">
        <v>14775</v>
      </c>
      <c r="L27" s="32" t="s">
        <v>160</v>
      </c>
      <c r="M27" s="31">
        <f>IF(F27="electricity",0,VLOOKUP(L27,PL!H:L,2,FALSE))</f>
        <v>6270</v>
      </c>
      <c r="N27" s="31">
        <f>IF(F27="electricity",VLOOKUP(L27,PL!H:L,3,FALSE),0)</f>
        <v>0</v>
      </c>
      <c r="O27" s="31">
        <f>IF(F27="electricity",0,VLOOKUP(L27,PL!H:L,4,FALSE))</f>
        <v>6184</v>
      </c>
      <c r="P27" s="31">
        <f>IF(F27="electricity",VLOOKUP(L27,PL!H:L,5,FALSE),0)</f>
        <v>0</v>
      </c>
      <c r="Q27" s="30">
        <f t="shared" si="0"/>
        <v>0.98628389154704943</v>
      </c>
      <c r="R27" s="30">
        <f t="shared" si="1"/>
        <v>0</v>
      </c>
      <c r="S27" s="32">
        <f>VLOOKUP(E27,PL!A:C,3,FALSE)</f>
        <v>0</v>
      </c>
      <c r="T27" s="31">
        <f t="shared" si="2"/>
        <v>0</v>
      </c>
      <c r="U27" s="31">
        <f t="shared" si="3"/>
        <v>5708361.3099157996</v>
      </c>
      <c r="V27" s="31">
        <f t="shared" si="4"/>
        <v>5708361.3099157996</v>
      </c>
      <c r="W27" s="32">
        <f t="shared" si="9"/>
        <v>138.69047620000001</v>
      </c>
      <c r="X27" s="9" t="s">
        <v>131</v>
      </c>
      <c r="Y27" s="9" t="str">
        <f t="shared" si="10"/>
        <v>UMass Amherst (Diesel for Vehicles)</v>
      </c>
      <c r="Z27" s="5">
        <f t="shared" si="11"/>
        <v>5708.3613099157992</v>
      </c>
      <c r="AA27" s="5">
        <f t="shared" si="12"/>
        <v>5708.3613099157992</v>
      </c>
      <c r="AB27" s="9" t="str">
        <f t="shared" si="13"/>
        <v>UMass Amherst</v>
      </c>
      <c r="AC27" s="9" t="str">
        <f t="shared" si="14"/>
        <v>Diesel for Vehicles</v>
      </c>
      <c r="AD27" s="9" t="str">
        <f>VLOOKUP(AC27,PL!A:B,2,FALSE)</f>
        <v>Vehicle Fuels</v>
      </c>
    </row>
    <row r="28" spans="1:30" s="9" customFormat="1" x14ac:dyDescent="0.25">
      <c r="A28" s="52">
        <v>2012</v>
      </c>
      <c r="B28" s="53" t="s">
        <v>15</v>
      </c>
      <c r="C28" s="53" t="s">
        <v>16</v>
      </c>
      <c r="D28" s="53" t="s">
        <v>25</v>
      </c>
      <c r="E28" s="53" t="s">
        <v>23</v>
      </c>
      <c r="F28" s="53" t="s">
        <v>26</v>
      </c>
      <c r="G28" s="54">
        <v>45498</v>
      </c>
      <c r="H28" s="54">
        <v>6310139.2861476</v>
      </c>
      <c r="I28" s="55">
        <v>145065.27480000001</v>
      </c>
      <c r="J28" s="53" t="s">
        <v>90</v>
      </c>
      <c r="K28" s="32">
        <v>14775</v>
      </c>
      <c r="L28" s="32" t="s">
        <v>161</v>
      </c>
      <c r="M28" s="31">
        <f>IF(F28="electricity",0,VLOOKUP(L28,PL!H:L,2,FALSE))</f>
        <v>4908</v>
      </c>
      <c r="N28" s="31">
        <f>IF(F28="electricity",VLOOKUP(L28,PL!H:L,3,FALSE),0)</f>
        <v>0</v>
      </c>
      <c r="O28" s="31">
        <f>IF(F28="electricity",0,VLOOKUP(L28,PL!H:L,4,FALSE))</f>
        <v>6184</v>
      </c>
      <c r="P28" s="31">
        <f>IF(F28="electricity",VLOOKUP(L28,PL!H:L,5,FALSE),0)</f>
        <v>0</v>
      </c>
      <c r="Q28" s="30">
        <f t="shared" si="0"/>
        <v>1.2599837000814995</v>
      </c>
      <c r="R28" s="30">
        <f t="shared" si="1"/>
        <v>0</v>
      </c>
      <c r="S28" s="32">
        <f>VLOOKUP(E28,PL!A:C,3,FALSE)</f>
        <v>0</v>
      </c>
      <c r="T28" s="31">
        <f t="shared" si="2"/>
        <v>0</v>
      </c>
      <c r="U28" s="31">
        <f t="shared" si="3"/>
        <v>6310139.2861476</v>
      </c>
      <c r="V28" s="31">
        <f t="shared" si="4"/>
        <v>6310139.2861476</v>
      </c>
      <c r="W28" s="32">
        <f t="shared" si="9"/>
        <v>138.69047620000001</v>
      </c>
      <c r="X28" s="9" t="s">
        <v>131</v>
      </c>
      <c r="Y28" s="9" t="str">
        <f t="shared" si="10"/>
        <v>UMass Amherst (Diesel for Vehicles)</v>
      </c>
      <c r="Z28" s="5">
        <f t="shared" si="11"/>
        <v>6310.1392861475997</v>
      </c>
      <c r="AA28" s="5">
        <f t="shared" si="12"/>
        <v>6310.1392861475997</v>
      </c>
      <c r="AB28" s="9" t="str">
        <f t="shared" si="13"/>
        <v>UMass Amherst</v>
      </c>
      <c r="AC28" s="9" t="str">
        <f t="shared" si="14"/>
        <v>Diesel for Vehicles</v>
      </c>
      <c r="AD28" s="9" t="str">
        <f>VLOOKUP(AC28,PL!A:B,2,FALSE)</f>
        <v>Vehicle Fuels</v>
      </c>
    </row>
    <row r="29" spans="1:30" s="9" customFormat="1" x14ac:dyDescent="0.25">
      <c r="A29" s="52">
        <v>2013</v>
      </c>
      <c r="B29" s="53" t="s">
        <v>15</v>
      </c>
      <c r="C29" s="53" t="s">
        <v>16</v>
      </c>
      <c r="D29" s="53" t="s">
        <v>25</v>
      </c>
      <c r="E29" s="53" t="s">
        <v>23</v>
      </c>
      <c r="F29" s="53" t="s">
        <v>26</v>
      </c>
      <c r="G29" s="54">
        <v>33155.949999999997</v>
      </c>
      <c r="H29" s="54">
        <v>4598414.4943633899</v>
      </c>
      <c r="I29" s="55">
        <v>109843.0095</v>
      </c>
      <c r="J29" s="53" t="s">
        <v>90</v>
      </c>
      <c r="K29" s="32">
        <v>14775</v>
      </c>
      <c r="L29" s="32" t="s">
        <v>162</v>
      </c>
      <c r="M29" s="31">
        <f>IF(F29="electricity",0,VLOOKUP(L29,PL!H:L,2,FALSE))</f>
        <v>6410</v>
      </c>
      <c r="N29" s="31">
        <f>IF(F29="electricity",VLOOKUP(L29,PL!H:L,3,FALSE),0)</f>
        <v>0</v>
      </c>
      <c r="O29" s="31">
        <f>IF(F29="electricity",0,VLOOKUP(L29,PL!H:L,4,FALSE))</f>
        <v>6184</v>
      </c>
      <c r="P29" s="31">
        <f>IF(F29="electricity",VLOOKUP(L29,PL!H:L,5,FALSE),0)</f>
        <v>0</v>
      </c>
      <c r="Q29" s="30">
        <f t="shared" si="0"/>
        <v>0.96474258970358817</v>
      </c>
      <c r="R29" s="30">
        <f t="shared" si="1"/>
        <v>0</v>
      </c>
      <c r="S29" s="32">
        <f>VLOOKUP(E29,PL!A:C,3,FALSE)</f>
        <v>0</v>
      </c>
      <c r="T29" s="31">
        <f t="shared" si="2"/>
        <v>0</v>
      </c>
      <c r="U29" s="31">
        <f t="shared" si="3"/>
        <v>4598414.4943633899</v>
      </c>
      <c r="V29" s="31">
        <f t="shared" si="4"/>
        <v>4598414.4943633899</v>
      </c>
      <c r="W29" s="32">
        <f t="shared" si="9"/>
        <v>138.69047620000001</v>
      </c>
      <c r="X29" s="9" t="s">
        <v>131</v>
      </c>
      <c r="Y29" s="9" t="str">
        <f t="shared" si="10"/>
        <v>UMass Amherst (Diesel for Vehicles)</v>
      </c>
      <c r="Z29" s="5">
        <f t="shared" si="11"/>
        <v>4598.4144943633901</v>
      </c>
      <c r="AA29" s="5">
        <f t="shared" si="12"/>
        <v>4598.4144943633901</v>
      </c>
      <c r="AB29" s="9" t="str">
        <f t="shared" si="13"/>
        <v>UMass Amherst</v>
      </c>
      <c r="AC29" s="9" t="str">
        <f t="shared" si="14"/>
        <v>Diesel for Vehicles</v>
      </c>
      <c r="AD29" s="9" t="str">
        <f>VLOOKUP(AC29,PL!A:B,2,FALSE)</f>
        <v>Vehicle Fuels</v>
      </c>
    </row>
    <row r="30" spans="1:30" s="9" customFormat="1" x14ac:dyDescent="0.25">
      <c r="A30" s="52">
        <v>2002</v>
      </c>
      <c r="B30" s="53" t="s">
        <v>15</v>
      </c>
      <c r="C30" s="53" t="s">
        <v>16</v>
      </c>
      <c r="D30" s="53" t="s">
        <v>25</v>
      </c>
      <c r="E30" s="53" t="s">
        <v>27</v>
      </c>
      <c r="F30" s="53" t="s">
        <v>27</v>
      </c>
      <c r="G30" s="54">
        <v>153254</v>
      </c>
      <c r="H30" s="54">
        <v>19167631.033999998</v>
      </c>
      <c r="I30" s="55">
        <v>185586.9615</v>
      </c>
      <c r="J30" s="53" t="s">
        <v>90</v>
      </c>
      <c r="K30" s="32">
        <v>14775</v>
      </c>
      <c r="L30" s="32" t="s">
        <v>163</v>
      </c>
      <c r="M30" s="31">
        <f>IF(F30="electricity",0,VLOOKUP(L30,PL!H:L,2,FALSE))</f>
        <v>4383</v>
      </c>
      <c r="N30" s="31">
        <f>IF(F30="electricity",VLOOKUP(L30,PL!H:L,3,FALSE),0)</f>
        <v>0</v>
      </c>
      <c r="O30" s="31">
        <f>IF(F30="electricity",0,VLOOKUP(L30,PL!H:L,4,FALSE))</f>
        <v>6184</v>
      </c>
      <c r="P30" s="31">
        <f>IF(F30="electricity",VLOOKUP(L30,PL!H:L,5,FALSE),0)</f>
        <v>0</v>
      </c>
      <c r="Q30" s="30">
        <f t="shared" si="0"/>
        <v>1.4109057723020761</v>
      </c>
      <c r="R30" s="30">
        <f t="shared" si="1"/>
        <v>0</v>
      </c>
      <c r="S30" s="32">
        <f>VLOOKUP(E30,PL!A:C,3,FALSE)</f>
        <v>0</v>
      </c>
      <c r="T30" s="31">
        <f t="shared" si="2"/>
        <v>0</v>
      </c>
      <c r="U30" s="31">
        <f t="shared" si="3"/>
        <v>19167631.033999998</v>
      </c>
      <c r="V30" s="31">
        <f t="shared" si="4"/>
        <v>19167631.033999998</v>
      </c>
      <c r="W30" s="32">
        <f t="shared" si="9"/>
        <v>125.07099999999998</v>
      </c>
      <c r="X30" s="9" t="s">
        <v>131</v>
      </c>
      <c r="Y30" s="9" t="str">
        <f t="shared" si="10"/>
        <v>UMass Amherst (Gasoline)</v>
      </c>
      <c r="Z30" s="5">
        <f t="shared" si="11"/>
        <v>19167.631033999998</v>
      </c>
      <c r="AA30" s="5">
        <f t="shared" si="12"/>
        <v>19167.631033999998</v>
      </c>
      <c r="AB30" s="9" t="str">
        <f t="shared" si="13"/>
        <v>UMass Amherst</v>
      </c>
      <c r="AC30" s="9" t="str">
        <f t="shared" si="14"/>
        <v>Gasoline</v>
      </c>
      <c r="AD30" s="9" t="str">
        <f>VLOOKUP(AC30,PL!A:B,2,FALSE)</f>
        <v>Vehicle Fuels</v>
      </c>
    </row>
    <row r="31" spans="1:30" s="9" customFormat="1" x14ac:dyDescent="0.25">
      <c r="A31" s="52">
        <v>2003</v>
      </c>
      <c r="B31" s="53" t="s">
        <v>15</v>
      </c>
      <c r="C31" s="53" t="s">
        <v>16</v>
      </c>
      <c r="D31" s="53" t="s">
        <v>25</v>
      </c>
      <c r="E31" s="53" t="s">
        <v>27</v>
      </c>
      <c r="F31" s="53" t="s">
        <v>27</v>
      </c>
      <c r="G31" s="54">
        <v>155676</v>
      </c>
      <c r="H31" s="54">
        <v>19470552.995999999</v>
      </c>
      <c r="I31" s="55">
        <v>212559.16810000001</v>
      </c>
      <c r="J31" s="53" t="s">
        <v>90</v>
      </c>
      <c r="K31" s="32">
        <v>14775</v>
      </c>
      <c r="L31" s="32" t="s">
        <v>164</v>
      </c>
      <c r="M31" s="31">
        <f>IF(F31="electricity",0,VLOOKUP(L31,PL!H:L,2,FALSE))</f>
        <v>5939</v>
      </c>
      <c r="N31" s="31">
        <f>IF(F31="electricity",VLOOKUP(L31,PL!H:L,3,FALSE),0)</f>
        <v>0</v>
      </c>
      <c r="O31" s="31">
        <f>IF(F31="electricity",0,VLOOKUP(L31,PL!H:L,4,FALSE))</f>
        <v>6184</v>
      </c>
      <c r="P31" s="31">
        <f>IF(F31="electricity",VLOOKUP(L31,PL!H:L,5,FALSE),0)</f>
        <v>0</v>
      </c>
      <c r="Q31" s="30">
        <f t="shared" si="0"/>
        <v>1.0412527361508672</v>
      </c>
      <c r="R31" s="30">
        <f t="shared" si="1"/>
        <v>0</v>
      </c>
      <c r="S31" s="32">
        <f>VLOOKUP(E31,PL!A:C,3,FALSE)</f>
        <v>0</v>
      </c>
      <c r="T31" s="31">
        <f t="shared" si="2"/>
        <v>0</v>
      </c>
      <c r="U31" s="31">
        <f t="shared" si="3"/>
        <v>19470552.995999999</v>
      </c>
      <c r="V31" s="31">
        <f t="shared" si="4"/>
        <v>19470552.995999999</v>
      </c>
      <c r="W31" s="32">
        <f t="shared" si="9"/>
        <v>125.071</v>
      </c>
      <c r="X31" s="9" t="s">
        <v>131</v>
      </c>
      <c r="Y31" s="9" t="str">
        <f t="shared" si="10"/>
        <v>UMass Amherst (Gasoline)</v>
      </c>
      <c r="Z31" s="5">
        <f t="shared" si="11"/>
        <v>19470.552995999999</v>
      </c>
      <c r="AA31" s="5">
        <f t="shared" si="12"/>
        <v>19470.552995999999</v>
      </c>
      <c r="AB31" s="9" t="str">
        <f t="shared" si="13"/>
        <v>UMass Amherst</v>
      </c>
      <c r="AC31" s="9" t="str">
        <f t="shared" si="14"/>
        <v>Gasoline</v>
      </c>
      <c r="AD31" s="9" t="str">
        <f>VLOOKUP(AC31,PL!A:B,2,FALSE)</f>
        <v>Vehicle Fuels</v>
      </c>
    </row>
    <row r="32" spans="1:30" s="9" customFormat="1" x14ac:dyDescent="0.25">
      <c r="A32" s="52">
        <v>2004</v>
      </c>
      <c r="B32" s="53" t="s">
        <v>15</v>
      </c>
      <c r="C32" s="53" t="s">
        <v>16</v>
      </c>
      <c r="D32" s="53" t="s">
        <v>25</v>
      </c>
      <c r="E32" s="53" t="s">
        <v>27</v>
      </c>
      <c r="F32" s="53" t="s">
        <v>27</v>
      </c>
      <c r="G32" s="54">
        <v>161429</v>
      </c>
      <c r="H32" s="54">
        <v>20190086.458999999</v>
      </c>
      <c r="I32" s="55">
        <v>252233</v>
      </c>
      <c r="J32" s="53" t="s">
        <v>90</v>
      </c>
      <c r="K32" s="32">
        <v>14775</v>
      </c>
      <c r="L32" s="32" t="s">
        <v>165</v>
      </c>
      <c r="M32" s="31">
        <f>IF(F32="electricity",0,VLOOKUP(L32,PL!H:L,2,FALSE))</f>
        <v>5939</v>
      </c>
      <c r="N32" s="31">
        <f>IF(F32="electricity",VLOOKUP(L32,PL!H:L,3,FALSE),0)</f>
        <v>0</v>
      </c>
      <c r="O32" s="31">
        <f>IF(F32="electricity",0,VLOOKUP(L32,PL!H:L,4,FALSE))</f>
        <v>6184</v>
      </c>
      <c r="P32" s="31">
        <f>IF(F32="electricity",VLOOKUP(L32,PL!H:L,5,FALSE),0)</f>
        <v>0</v>
      </c>
      <c r="Q32" s="30">
        <f t="shared" si="0"/>
        <v>1.0412527361508672</v>
      </c>
      <c r="R32" s="30">
        <f t="shared" si="1"/>
        <v>0</v>
      </c>
      <c r="S32" s="32">
        <f>VLOOKUP(E32,PL!A:C,3,FALSE)</f>
        <v>0</v>
      </c>
      <c r="T32" s="31">
        <f t="shared" si="2"/>
        <v>0</v>
      </c>
      <c r="U32" s="31">
        <f t="shared" si="3"/>
        <v>20190086.458999999</v>
      </c>
      <c r="V32" s="31">
        <f t="shared" si="4"/>
        <v>20190086.458999999</v>
      </c>
      <c r="W32" s="32">
        <f t="shared" si="9"/>
        <v>125.071</v>
      </c>
      <c r="X32" s="9" t="s">
        <v>131</v>
      </c>
      <c r="Y32" s="9" t="str">
        <f t="shared" si="10"/>
        <v>UMass Amherst (Gasoline)</v>
      </c>
      <c r="Z32" s="5">
        <f t="shared" si="11"/>
        <v>20190.086458999998</v>
      </c>
      <c r="AA32" s="5">
        <f t="shared" si="12"/>
        <v>20190.086458999998</v>
      </c>
      <c r="AB32" s="9" t="str">
        <f t="shared" si="13"/>
        <v>UMass Amherst</v>
      </c>
      <c r="AC32" s="9" t="str">
        <f t="shared" si="14"/>
        <v>Gasoline</v>
      </c>
      <c r="AD32" s="9" t="str">
        <f>VLOOKUP(AC32,PL!A:B,2,FALSE)</f>
        <v>Vehicle Fuels</v>
      </c>
    </row>
    <row r="33" spans="1:30" s="9" customFormat="1" x14ac:dyDescent="0.25">
      <c r="A33" s="52">
        <v>2005</v>
      </c>
      <c r="B33" s="53" t="s">
        <v>15</v>
      </c>
      <c r="C33" s="53" t="s">
        <v>16</v>
      </c>
      <c r="D33" s="53" t="s">
        <v>25</v>
      </c>
      <c r="E33" s="53" t="s">
        <v>27</v>
      </c>
      <c r="F33" s="53" t="s">
        <v>27</v>
      </c>
      <c r="G33" s="54">
        <v>162868</v>
      </c>
      <c r="H33" s="54">
        <v>20370063.627999999</v>
      </c>
      <c r="I33" s="55">
        <v>278874</v>
      </c>
      <c r="J33" s="53" t="s">
        <v>90</v>
      </c>
      <c r="K33" s="32">
        <v>14775</v>
      </c>
      <c r="L33" s="32" t="s">
        <v>166</v>
      </c>
      <c r="M33" s="31">
        <f>IF(F33="electricity",0,VLOOKUP(L33,PL!H:L,2,FALSE))</f>
        <v>6620</v>
      </c>
      <c r="N33" s="31">
        <f>IF(F33="electricity",VLOOKUP(L33,PL!H:L,3,FALSE),0)</f>
        <v>0</v>
      </c>
      <c r="O33" s="31">
        <f>IF(F33="electricity",0,VLOOKUP(L33,PL!H:L,4,FALSE))</f>
        <v>6184</v>
      </c>
      <c r="P33" s="31">
        <f>IF(F33="electricity",VLOOKUP(L33,PL!H:L,5,FALSE),0)</f>
        <v>0</v>
      </c>
      <c r="Q33" s="30">
        <f t="shared" si="0"/>
        <v>0.93413897280966762</v>
      </c>
      <c r="R33" s="30">
        <f t="shared" si="1"/>
        <v>0</v>
      </c>
      <c r="S33" s="32">
        <f>VLOOKUP(E33,PL!A:C,3,FALSE)</f>
        <v>0</v>
      </c>
      <c r="T33" s="31">
        <f t="shared" si="2"/>
        <v>0</v>
      </c>
      <c r="U33" s="31">
        <f t="shared" si="3"/>
        <v>20370063.627999999</v>
      </c>
      <c r="V33" s="31">
        <f t="shared" si="4"/>
        <v>20370063.627999999</v>
      </c>
      <c r="W33" s="32">
        <f t="shared" si="9"/>
        <v>125.071</v>
      </c>
      <c r="X33" s="9" t="s">
        <v>131</v>
      </c>
      <c r="Y33" s="9" t="str">
        <f t="shared" si="10"/>
        <v>UMass Amherst (Gasoline)</v>
      </c>
      <c r="Z33" s="5">
        <f t="shared" si="11"/>
        <v>20370.063628</v>
      </c>
      <c r="AA33" s="5">
        <f t="shared" si="12"/>
        <v>20370.063628</v>
      </c>
      <c r="AB33" s="9" t="str">
        <f t="shared" si="13"/>
        <v>UMass Amherst</v>
      </c>
      <c r="AC33" s="9" t="str">
        <f t="shared" si="14"/>
        <v>Gasoline</v>
      </c>
      <c r="AD33" s="9" t="str">
        <f>VLOOKUP(AC33,PL!A:B,2,FALSE)</f>
        <v>Vehicle Fuels</v>
      </c>
    </row>
    <row r="34" spans="1:30" s="9" customFormat="1" x14ac:dyDescent="0.25">
      <c r="A34" s="52">
        <v>2006</v>
      </c>
      <c r="B34" s="53" t="s">
        <v>15</v>
      </c>
      <c r="C34" s="53" t="s">
        <v>16</v>
      </c>
      <c r="D34" s="53" t="s">
        <v>25</v>
      </c>
      <c r="E34" s="53" t="s">
        <v>27</v>
      </c>
      <c r="F34" s="53" t="s">
        <v>27</v>
      </c>
      <c r="G34" s="54">
        <v>153089</v>
      </c>
      <c r="H34" s="54">
        <v>19146994.318999998</v>
      </c>
      <c r="I34" s="55">
        <v>367414</v>
      </c>
      <c r="J34" s="53" t="s">
        <v>90</v>
      </c>
      <c r="K34" s="32">
        <v>14775</v>
      </c>
      <c r="L34" s="32" t="s">
        <v>155</v>
      </c>
      <c r="M34" s="31">
        <f>IF(F34="electricity",0,VLOOKUP(L34,PL!H:L,2,FALSE))</f>
        <v>6087</v>
      </c>
      <c r="N34" s="31">
        <f>IF(F34="electricity",VLOOKUP(L34,PL!H:L,3,FALSE),0)</f>
        <v>0</v>
      </c>
      <c r="O34" s="31">
        <f>IF(F34="electricity",0,VLOOKUP(L34,PL!H:L,4,FALSE))</f>
        <v>6184</v>
      </c>
      <c r="P34" s="31">
        <f>IF(F34="electricity",VLOOKUP(L34,PL!H:L,5,FALSE),0)</f>
        <v>0</v>
      </c>
      <c r="Q34" s="30">
        <f t="shared" ref="Q34:Q54" si="15">IFERROR(O34/M34,0)</f>
        <v>1.0159356004599966</v>
      </c>
      <c r="R34" s="30">
        <f t="shared" ref="R34:R54" si="16">IFERROR(P34/N34,0)</f>
        <v>0</v>
      </c>
      <c r="S34" s="32">
        <f>VLOOKUP(E34,PL!A:C,3,FALSE)</f>
        <v>0</v>
      </c>
      <c r="T34" s="31">
        <f t="shared" ref="T34:T53" si="17">H34*S34</f>
        <v>0</v>
      </c>
      <c r="U34" s="31">
        <f t="shared" ref="U34:U53" si="18">H34*(1-S34)</f>
        <v>19146994.318999998</v>
      </c>
      <c r="V34" s="31">
        <f t="shared" ref="V34:V53" si="19">IF(Q34=0,(T34*R34)+U34,(T34*Q34)+U34)</f>
        <v>19146994.318999998</v>
      </c>
      <c r="W34" s="32">
        <f t="shared" si="9"/>
        <v>125.07099999999998</v>
      </c>
      <c r="X34" s="9" t="s">
        <v>131</v>
      </c>
      <c r="Y34" s="9" t="str">
        <f t="shared" si="10"/>
        <v>UMass Amherst (Gasoline)</v>
      </c>
      <c r="Z34" s="5">
        <f t="shared" si="11"/>
        <v>19146.994318999998</v>
      </c>
      <c r="AA34" s="5">
        <f t="shared" si="12"/>
        <v>19146.994318999998</v>
      </c>
      <c r="AB34" s="9" t="str">
        <f t="shared" si="13"/>
        <v>UMass Amherst</v>
      </c>
      <c r="AC34" s="9" t="str">
        <f t="shared" si="14"/>
        <v>Gasoline</v>
      </c>
      <c r="AD34" s="9" t="str">
        <f>VLOOKUP(AC34,PL!A:B,2,FALSE)</f>
        <v>Vehicle Fuels</v>
      </c>
    </row>
    <row r="35" spans="1:30" s="9" customFormat="1" x14ac:dyDescent="0.25">
      <c r="A35" s="52">
        <v>2007</v>
      </c>
      <c r="B35" s="53" t="s">
        <v>15</v>
      </c>
      <c r="C35" s="53" t="s">
        <v>16</v>
      </c>
      <c r="D35" s="53" t="s">
        <v>25</v>
      </c>
      <c r="E35" s="53" t="s">
        <v>27</v>
      </c>
      <c r="F35" s="53" t="s">
        <v>27</v>
      </c>
      <c r="G35" s="54">
        <v>157726</v>
      </c>
      <c r="H35" s="54">
        <v>19726948.546</v>
      </c>
      <c r="I35" s="55">
        <v>393112</v>
      </c>
      <c r="J35" s="53" t="s">
        <v>90</v>
      </c>
      <c r="K35" s="32">
        <v>14775</v>
      </c>
      <c r="L35" s="32" t="s">
        <v>156</v>
      </c>
      <c r="M35" s="31">
        <f>IF(F35="electricity",0,VLOOKUP(L35,PL!H:L,2,FALSE))</f>
        <v>6216</v>
      </c>
      <c r="N35" s="31">
        <f>IF(F35="electricity",VLOOKUP(L35,PL!H:L,3,FALSE),0)</f>
        <v>0</v>
      </c>
      <c r="O35" s="31">
        <f>IF(F35="electricity",0,VLOOKUP(L35,PL!H:L,4,FALSE))</f>
        <v>6184</v>
      </c>
      <c r="P35" s="31">
        <f>IF(F35="electricity",VLOOKUP(L35,PL!H:L,5,FALSE),0)</f>
        <v>0</v>
      </c>
      <c r="Q35" s="30">
        <f t="shared" si="15"/>
        <v>0.99485199485199483</v>
      </c>
      <c r="R35" s="30">
        <f t="shared" si="16"/>
        <v>0</v>
      </c>
      <c r="S35" s="32">
        <f>VLOOKUP(E35,PL!A:C,3,FALSE)</f>
        <v>0</v>
      </c>
      <c r="T35" s="31">
        <f t="shared" si="17"/>
        <v>0</v>
      </c>
      <c r="U35" s="31">
        <f t="shared" si="18"/>
        <v>19726948.546</v>
      </c>
      <c r="V35" s="31">
        <f t="shared" si="19"/>
        <v>19726948.546</v>
      </c>
      <c r="W35" s="32">
        <f t="shared" si="9"/>
        <v>125.071</v>
      </c>
      <c r="X35" s="9" t="s">
        <v>131</v>
      </c>
      <c r="Y35" s="9" t="str">
        <f t="shared" si="10"/>
        <v>UMass Amherst (Gasoline)</v>
      </c>
      <c r="Z35" s="5">
        <f t="shared" si="11"/>
        <v>19726.948546</v>
      </c>
      <c r="AA35" s="5">
        <f t="shared" si="12"/>
        <v>19726.948546</v>
      </c>
      <c r="AB35" s="9" t="str">
        <f t="shared" si="13"/>
        <v>UMass Amherst</v>
      </c>
      <c r="AC35" s="9" t="str">
        <f t="shared" si="14"/>
        <v>Gasoline</v>
      </c>
      <c r="AD35" s="9" t="str">
        <f>VLOOKUP(AC35,PL!A:B,2,FALSE)</f>
        <v>Vehicle Fuels</v>
      </c>
    </row>
    <row r="36" spans="1:30" s="9" customFormat="1" x14ac:dyDescent="0.25">
      <c r="A36" s="52">
        <v>2008</v>
      </c>
      <c r="B36" s="53" t="s">
        <v>15</v>
      </c>
      <c r="C36" s="53" t="s">
        <v>16</v>
      </c>
      <c r="D36" s="53" t="s">
        <v>25</v>
      </c>
      <c r="E36" s="53" t="s">
        <v>27</v>
      </c>
      <c r="F36" s="53" t="s">
        <v>27</v>
      </c>
      <c r="G36" s="54">
        <v>160388</v>
      </c>
      <c r="H36" s="54">
        <v>20059887.548</v>
      </c>
      <c r="I36" s="55">
        <v>360873</v>
      </c>
      <c r="J36" s="53" t="s">
        <v>90</v>
      </c>
      <c r="K36" s="32">
        <v>14775</v>
      </c>
      <c r="L36" s="32" t="s">
        <v>157</v>
      </c>
      <c r="M36" s="31">
        <f>IF(F36="electricity",0,VLOOKUP(L36,PL!H:L,2,FALSE))</f>
        <v>6357</v>
      </c>
      <c r="N36" s="31">
        <f>IF(F36="electricity",VLOOKUP(L36,PL!H:L,3,FALSE),0)</f>
        <v>0</v>
      </c>
      <c r="O36" s="31">
        <f>IF(F36="electricity",0,VLOOKUP(L36,PL!H:L,4,FALSE))</f>
        <v>6184</v>
      </c>
      <c r="P36" s="31">
        <f>IF(F36="electricity",VLOOKUP(L36,PL!H:L,5,FALSE),0)</f>
        <v>0</v>
      </c>
      <c r="Q36" s="30">
        <f t="shared" si="15"/>
        <v>0.97278590530124276</v>
      </c>
      <c r="R36" s="30">
        <f t="shared" si="16"/>
        <v>0</v>
      </c>
      <c r="S36" s="32">
        <f>VLOOKUP(E36,PL!A:C,3,FALSE)</f>
        <v>0</v>
      </c>
      <c r="T36" s="31">
        <f t="shared" si="17"/>
        <v>0</v>
      </c>
      <c r="U36" s="31">
        <f t="shared" si="18"/>
        <v>20059887.548</v>
      </c>
      <c r="V36" s="31">
        <f t="shared" si="19"/>
        <v>20059887.548</v>
      </c>
      <c r="W36" s="32">
        <f t="shared" si="9"/>
        <v>125.071</v>
      </c>
      <c r="X36" s="9" t="s">
        <v>131</v>
      </c>
      <c r="Y36" s="9" t="str">
        <f t="shared" si="10"/>
        <v>UMass Amherst (Gasoline)</v>
      </c>
      <c r="Z36" s="5">
        <f t="shared" si="11"/>
        <v>20059.887547999999</v>
      </c>
      <c r="AA36" s="5">
        <f t="shared" si="12"/>
        <v>20059.887547999999</v>
      </c>
      <c r="AB36" s="9" t="str">
        <f t="shared" si="13"/>
        <v>UMass Amherst</v>
      </c>
      <c r="AC36" s="9" t="str">
        <f t="shared" si="14"/>
        <v>Gasoline</v>
      </c>
      <c r="AD36" s="9" t="str">
        <f>VLOOKUP(AC36,PL!A:B,2,FALSE)</f>
        <v>Vehicle Fuels</v>
      </c>
    </row>
    <row r="37" spans="1:30" s="9" customFormat="1" x14ac:dyDescent="0.25">
      <c r="A37" s="52">
        <v>2009</v>
      </c>
      <c r="B37" s="53" t="s">
        <v>15</v>
      </c>
      <c r="C37" s="53" t="s">
        <v>16</v>
      </c>
      <c r="D37" s="53" t="s">
        <v>25</v>
      </c>
      <c r="E37" s="53" t="s">
        <v>27</v>
      </c>
      <c r="F37" s="53" t="s">
        <v>27</v>
      </c>
      <c r="G37" s="54">
        <v>162871</v>
      </c>
      <c r="H37" s="54">
        <v>20370438.840999998</v>
      </c>
      <c r="I37" s="55">
        <v>332591.2648</v>
      </c>
      <c r="J37" s="53" t="s">
        <v>90</v>
      </c>
      <c r="K37" s="32">
        <v>14775</v>
      </c>
      <c r="L37" s="32" t="s">
        <v>158</v>
      </c>
      <c r="M37" s="31">
        <f>IF(F37="electricity",0,VLOOKUP(L37,PL!H:L,2,FALSE))</f>
        <v>6513</v>
      </c>
      <c r="N37" s="31">
        <f>IF(F37="electricity",VLOOKUP(L37,PL!H:L,3,FALSE),0)</f>
        <v>0</v>
      </c>
      <c r="O37" s="31">
        <f>IF(F37="electricity",0,VLOOKUP(L37,PL!H:L,4,FALSE))</f>
        <v>6184</v>
      </c>
      <c r="P37" s="31">
        <f>IF(F37="electricity",VLOOKUP(L37,PL!H:L,5,FALSE),0)</f>
        <v>0</v>
      </c>
      <c r="Q37" s="30">
        <f t="shared" si="15"/>
        <v>0.94948564409642255</v>
      </c>
      <c r="R37" s="30">
        <f t="shared" si="16"/>
        <v>0</v>
      </c>
      <c r="S37" s="32">
        <f>VLOOKUP(E37,PL!A:C,3,FALSE)</f>
        <v>0</v>
      </c>
      <c r="T37" s="31">
        <f t="shared" si="17"/>
        <v>0</v>
      </c>
      <c r="U37" s="31">
        <f t="shared" si="18"/>
        <v>20370438.840999998</v>
      </c>
      <c r="V37" s="31">
        <f t="shared" si="19"/>
        <v>20370438.840999998</v>
      </c>
      <c r="W37" s="32">
        <f t="shared" si="9"/>
        <v>125.07099999999998</v>
      </c>
      <c r="X37" s="9" t="s">
        <v>131</v>
      </c>
      <c r="Y37" s="9" t="str">
        <f t="shared" si="10"/>
        <v>UMass Amherst (Gasoline)</v>
      </c>
      <c r="Z37" s="5">
        <f t="shared" si="11"/>
        <v>20370.438840999999</v>
      </c>
      <c r="AA37" s="5">
        <f t="shared" si="12"/>
        <v>20370.438840999999</v>
      </c>
      <c r="AB37" s="9" t="str">
        <f t="shared" si="13"/>
        <v>UMass Amherst</v>
      </c>
      <c r="AC37" s="9" t="str">
        <f t="shared" si="14"/>
        <v>Gasoline</v>
      </c>
      <c r="AD37" s="9" t="str">
        <f>VLOOKUP(AC37,PL!A:B,2,FALSE)</f>
        <v>Vehicle Fuels</v>
      </c>
    </row>
    <row r="38" spans="1:30" s="9" customFormat="1" x14ac:dyDescent="0.25">
      <c r="A38" s="52">
        <v>2010</v>
      </c>
      <c r="B38" s="53" t="s">
        <v>15</v>
      </c>
      <c r="C38" s="53" t="s">
        <v>16</v>
      </c>
      <c r="D38" s="53" t="s">
        <v>25</v>
      </c>
      <c r="E38" s="53" t="s">
        <v>27</v>
      </c>
      <c r="F38" s="53" t="s">
        <v>27</v>
      </c>
      <c r="G38" s="54">
        <v>155753</v>
      </c>
      <c r="H38" s="54">
        <v>19480183.463</v>
      </c>
      <c r="I38" s="55">
        <v>343542</v>
      </c>
      <c r="J38" s="53" t="s">
        <v>90</v>
      </c>
      <c r="K38" s="32">
        <v>14775</v>
      </c>
      <c r="L38" s="32" t="s">
        <v>159</v>
      </c>
      <c r="M38" s="31">
        <f>IF(F38="electricity",0,VLOOKUP(L38,PL!H:L,2,FALSE))</f>
        <v>5785</v>
      </c>
      <c r="N38" s="31">
        <f>IF(F38="electricity",VLOOKUP(L38,PL!H:L,3,FALSE),0)</f>
        <v>0</v>
      </c>
      <c r="O38" s="31">
        <f>IF(F38="electricity",0,VLOOKUP(L38,PL!H:L,4,FALSE))</f>
        <v>6184</v>
      </c>
      <c r="P38" s="31">
        <f>IF(F38="electricity",VLOOKUP(L38,PL!H:L,5,FALSE),0)</f>
        <v>0</v>
      </c>
      <c r="Q38" s="30">
        <f t="shared" si="15"/>
        <v>1.0689714779602419</v>
      </c>
      <c r="R38" s="30">
        <f t="shared" si="16"/>
        <v>0</v>
      </c>
      <c r="S38" s="32">
        <f>VLOOKUP(E38,PL!A:C,3,FALSE)</f>
        <v>0</v>
      </c>
      <c r="T38" s="31">
        <f t="shared" si="17"/>
        <v>0</v>
      </c>
      <c r="U38" s="31">
        <f t="shared" si="18"/>
        <v>19480183.463</v>
      </c>
      <c r="V38" s="31">
        <f t="shared" si="19"/>
        <v>19480183.463</v>
      </c>
      <c r="W38" s="32">
        <f t="shared" si="9"/>
        <v>125.071</v>
      </c>
      <c r="X38" s="9" t="s">
        <v>131</v>
      </c>
      <c r="Y38" s="9" t="str">
        <f t="shared" si="10"/>
        <v>UMass Amherst (Gasoline)</v>
      </c>
      <c r="Z38" s="5">
        <f t="shared" si="11"/>
        <v>19480.183463000001</v>
      </c>
      <c r="AA38" s="5">
        <f t="shared" si="12"/>
        <v>19480.183463000001</v>
      </c>
      <c r="AB38" s="9" t="str">
        <f t="shared" si="13"/>
        <v>UMass Amherst</v>
      </c>
      <c r="AC38" s="9" t="str">
        <f t="shared" si="14"/>
        <v>Gasoline</v>
      </c>
      <c r="AD38" s="9" t="str">
        <f>VLOOKUP(AC38,PL!A:B,2,FALSE)</f>
        <v>Vehicle Fuels</v>
      </c>
    </row>
    <row r="39" spans="1:30" s="9" customFormat="1" x14ac:dyDescent="0.25">
      <c r="A39" s="52">
        <v>2011</v>
      </c>
      <c r="B39" s="53" t="s">
        <v>15</v>
      </c>
      <c r="C39" s="53" t="s">
        <v>16</v>
      </c>
      <c r="D39" s="53" t="s">
        <v>25</v>
      </c>
      <c r="E39" s="53" t="s">
        <v>27</v>
      </c>
      <c r="F39" s="53" t="s">
        <v>27</v>
      </c>
      <c r="G39" s="54">
        <v>157831</v>
      </c>
      <c r="H39" s="54">
        <v>19740081.000999998</v>
      </c>
      <c r="I39" s="55">
        <v>476897.00809999998</v>
      </c>
      <c r="J39" s="53" t="s">
        <v>90</v>
      </c>
      <c r="K39" s="32">
        <v>14775</v>
      </c>
      <c r="L39" s="32" t="s">
        <v>160</v>
      </c>
      <c r="M39" s="31">
        <f>IF(F39="electricity",0,VLOOKUP(L39,PL!H:L,2,FALSE))</f>
        <v>6270</v>
      </c>
      <c r="N39" s="31">
        <f>IF(F39="electricity",VLOOKUP(L39,PL!H:L,3,FALSE),0)</f>
        <v>0</v>
      </c>
      <c r="O39" s="31">
        <f>IF(F39="electricity",0,VLOOKUP(L39,PL!H:L,4,FALSE))</f>
        <v>6184</v>
      </c>
      <c r="P39" s="31">
        <f>IF(F39="electricity",VLOOKUP(L39,PL!H:L,5,FALSE),0)</f>
        <v>0</v>
      </c>
      <c r="Q39" s="30">
        <f t="shared" si="15"/>
        <v>0.98628389154704943</v>
      </c>
      <c r="R39" s="30">
        <f t="shared" si="16"/>
        <v>0</v>
      </c>
      <c r="S39" s="32">
        <f>VLOOKUP(E39,PL!A:C,3,FALSE)</f>
        <v>0</v>
      </c>
      <c r="T39" s="31">
        <f t="shared" si="17"/>
        <v>0</v>
      </c>
      <c r="U39" s="31">
        <f t="shared" si="18"/>
        <v>19740081.000999998</v>
      </c>
      <c r="V39" s="31">
        <f t="shared" si="19"/>
        <v>19740081.000999998</v>
      </c>
      <c r="W39" s="32">
        <f t="shared" si="9"/>
        <v>125.07099999999998</v>
      </c>
      <c r="X39" s="9" t="s">
        <v>131</v>
      </c>
      <c r="Y39" s="9" t="str">
        <f t="shared" si="10"/>
        <v>UMass Amherst (Gasoline)</v>
      </c>
      <c r="Z39" s="5">
        <f t="shared" si="11"/>
        <v>19740.081000999999</v>
      </c>
      <c r="AA39" s="5">
        <f t="shared" si="12"/>
        <v>19740.081000999999</v>
      </c>
      <c r="AB39" s="9" t="str">
        <f t="shared" si="13"/>
        <v>UMass Amherst</v>
      </c>
      <c r="AC39" s="9" t="str">
        <f t="shared" si="14"/>
        <v>Gasoline</v>
      </c>
      <c r="AD39" s="9" t="str">
        <f>VLOOKUP(AC39,PL!A:B,2,FALSE)</f>
        <v>Vehicle Fuels</v>
      </c>
    </row>
    <row r="40" spans="1:30" s="9" customFormat="1" x14ac:dyDescent="0.25">
      <c r="A40" s="52">
        <v>2012</v>
      </c>
      <c r="B40" s="53" t="s">
        <v>15</v>
      </c>
      <c r="C40" s="53" t="s">
        <v>16</v>
      </c>
      <c r="D40" s="53" t="s">
        <v>25</v>
      </c>
      <c r="E40" s="53" t="s">
        <v>27</v>
      </c>
      <c r="F40" s="53" t="s">
        <v>27</v>
      </c>
      <c r="G40" s="54">
        <v>150165</v>
      </c>
      <c r="H40" s="54">
        <v>18781286.715</v>
      </c>
      <c r="I40" s="55">
        <v>525577.5</v>
      </c>
      <c r="J40" s="53" t="s">
        <v>90</v>
      </c>
      <c r="K40" s="32">
        <v>14775</v>
      </c>
      <c r="L40" s="32" t="s">
        <v>161</v>
      </c>
      <c r="M40" s="31">
        <f>IF(F40="electricity",0,VLOOKUP(L40,PL!H:L,2,FALSE))</f>
        <v>4908</v>
      </c>
      <c r="N40" s="31">
        <f>IF(F40="electricity",VLOOKUP(L40,PL!H:L,3,FALSE),0)</f>
        <v>0</v>
      </c>
      <c r="O40" s="31">
        <f>IF(F40="electricity",0,VLOOKUP(L40,PL!H:L,4,FALSE))</f>
        <v>6184</v>
      </c>
      <c r="P40" s="31">
        <f>IF(F40="electricity",VLOOKUP(L40,PL!H:L,5,FALSE),0)</f>
        <v>0</v>
      </c>
      <c r="Q40" s="30">
        <f t="shared" si="15"/>
        <v>1.2599837000814995</v>
      </c>
      <c r="R40" s="30">
        <f t="shared" si="16"/>
        <v>0</v>
      </c>
      <c r="S40" s="32">
        <f>VLOOKUP(E40,PL!A:C,3,FALSE)</f>
        <v>0</v>
      </c>
      <c r="T40" s="31">
        <f t="shared" si="17"/>
        <v>0</v>
      </c>
      <c r="U40" s="31">
        <f t="shared" si="18"/>
        <v>18781286.715</v>
      </c>
      <c r="V40" s="31">
        <f t="shared" si="19"/>
        <v>18781286.715</v>
      </c>
      <c r="W40" s="32">
        <f t="shared" si="9"/>
        <v>125.071</v>
      </c>
      <c r="X40" s="9" t="s">
        <v>131</v>
      </c>
      <c r="Y40" s="9" t="str">
        <f t="shared" si="10"/>
        <v>UMass Amherst (Gasoline)</v>
      </c>
      <c r="Z40" s="5">
        <f t="shared" si="11"/>
        <v>18781.286714999998</v>
      </c>
      <c r="AA40" s="5">
        <f t="shared" si="12"/>
        <v>18781.286714999998</v>
      </c>
      <c r="AB40" s="9" t="str">
        <f t="shared" si="13"/>
        <v>UMass Amherst</v>
      </c>
      <c r="AC40" s="9" t="str">
        <f t="shared" si="14"/>
        <v>Gasoline</v>
      </c>
      <c r="AD40" s="9" t="str">
        <f>VLOOKUP(AC40,PL!A:B,2,FALSE)</f>
        <v>Vehicle Fuels</v>
      </c>
    </row>
    <row r="41" spans="1:30" s="9" customFormat="1" x14ac:dyDescent="0.25">
      <c r="A41" s="52">
        <v>2013</v>
      </c>
      <c r="B41" s="53" t="s">
        <v>15</v>
      </c>
      <c r="C41" s="53" t="s">
        <v>16</v>
      </c>
      <c r="D41" s="53" t="s">
        <v>25</v>
      </c>
      <c r="E41" s="53" t="s">
        <v>27</v>
      </c>
      <c r="F41" s="53" t="s">
        <v>27</v>
      </c>
      <c r="G41" s="54">
        <v>170067</v>
      </c>
      <c r="H41" s="54">
        <v>21270449.756999999</v>
      </c>
      <c r="I41" s="55">
        <v>581326.28</v>
      </c>
      <c r="J41" s="53" t="s">
        <v>90</v>
      </c>
      <c r="K41" s="32">
        <v>14775</v>
      </c>
      <c r="L41" s="32" t="s">
        <v>162</v>
      </c>
      <c r="M41" s="31">
        <f>IF(F41="electricity",0,VLOOKUP(L41,PL!H:L,2,FALSE))</f>
        <v>6410</v>
      </c>
      <c r="N41" s="31">
        <f>IF(F41="electricity",VLOOKUP(L41,PL!H:L,3,FALSE),0)</f>
        <v>0</v>
      </c>
      <c r="O41" s="31">
        <f>IF(F41="electricity",0,VLOOKUP(L41,PL!H:L,4,FALSE))</f>
        <v>6184</v>
      </c>
      <c r="P41" s="31">
        <f>IF(F41="electricity",VLOOKUP(L41,PL!H:L,5,FALSE),0)</f>
        <v>0</v>
      </c>
      <c r="Q41" s="30">
        <f t="shared" si="15"/>
        <v>0.96474258970358817</v>
      </c>
      <c r="R41" s="30">
        <f t="shared" si="16"/>
        <v>0</v>
      </c>
      <c r="S41" s="32">
        <f>VLOOKUP(E41,PL!A:C,3,FALSE)</f>
        <v>0</v>
      </c>
      <c r="T41" s="31">
        <f t="shared" si="17"/>
        <v>0</v>
      </c>
      <c r="U41" s="31">
        <f t="shared" si="18"/>
        <v>21270449.756999999</v>
      </c>
      <c r="V41" s="31">
        <f t="shared" si="19"/>
        <v>21270449.756999999</v>
      </c>
      <c r="W41" s="32">
        <f t="shared" si="9"/>
        <v>125.071</v>
      </c>
      <c r="X41" s="9" t="s">
        <v>131</v>
      </c>
      <c r="Y41" s="9" t="str">
        <f t="shared" si="10"/>
        <v>UMass Amherst (Gasoline)</v>
      </c>
      <c r="Z41" s="5">
        <f t="shared" si="11"/>
        <v>21270.449756999998</v>
      </c>
      <c r="AA41" s="5">
        <f t="shared" si="12"/>
        <v>21270.449756999998</v>
      </c>
      <c r="AB41" s="9" t="str">
        <f t="shared" si="13"/>
        <v>UMass Amherst</v>
      </c>
      <c r="AC41" s="9" t="str">
        <f t="shared" si="14"/>
        <v>Gasoline</v>
      </c>
      <c r="AD41" s="9" t="str">
        <f>VLOOKUP(AC41,PL!A:B,2,FALSE)</f>
        <v>Vehicle Fuels</v>
      </c>
    </row>
    <row r="42" spans="1:30" s="9" customFormat="1" x14ac:dyDescent="0.25">
      <c r="A42" s="52">
        <v>2002</v>
      </c>
      <c r="B42" s="53" t="s">
        <v>15</v>
      </c>
      <c r="C42" s="53" t="s">
        <v>16</v>
      </c>
      <c r="D42" s="53" t="s">
        <v>21</v>
      </c>
      <c r="E42" s="53" t="s">
        <v>28</v>
      </c>
      <c r="F42" s="53" t="s">
        <v>30</v>
      </c>
      <c r="G42" s="54">
        <v>108753797</v>
      </c>
      <c r="H42" s="54">
        <v>371067955.36399996</v>
      </c>
      <c r="I42" s="55">
        <v>10875379.699999999</v>
      </c>
      <c r="J42" s="53" t="s">
        <v>90</v>
      </c>
      <c r="K42" s="32">
        <v>14775</v>
      </c>
      <c r="L42" s="32" t="s">
        <v>163</v>
      </c>
      <c r="M42" s="31">
        <f>IF(F42="electricity",0,VLOOKUP(L42,PL!H:L,2,FALSE))</f>
        <v>0</v>
      </c>
      <c r="N42" s="31">
        <f>IF(F42="electricity",VLOOKUP(L42,PL!H:L,3,FALSE),0)</f>
        <v>544</v>
      </c>
      <c r="O42" s="31">
        <f>IF(F42="electricity",0,VLOOKUP(L42,PL!H:L,4,FALSE))</f>
        <v>0</v>
      </c>
      <c r="P42" s="31">
        <f>IF(F42="electricity",VLOOKUP(L42,PL!H:L,5,FALSE),0)</f>
        <v>695</v>
      </c>
      <c r="Q42" s="30">
        <f t="shared" si="15"/>
        <v>0</v>
      </c>
      <c r="R42" s="30">
        <f t="shared" si="16"/>
        <v>1.2775735294117647</v>
      </c>
      <c r="S42" s="32">
        <f>VLOOKUP(E42,PL!A:C,3,FALSE)</f>
        <v>0.05</v>
      </c>
      <c r="T42" s="31">
        <f t="shared" si="17"/>
        <v>18553397.768199999</v>
      </c>
      <c r="U42" s="31">
        <f t="shared" si="18"/>
        <v>352514557.59579992</v>
      </c>
      <c r="V42" s="31">
        <f t="shared" si="19"/>
        <v>376217887.46509957</v>
      </c>
      <c r="W42" s="32">
        <f t="shared" si="9"/>
        <v>3.4119999999999995</v>
      </c>
      <c r="X42" s="9" t="s">
        <v>131</v>
      </c>
      <c r="Y42" s="9" t="str">
        <f t="shared" si="10"/>
        <v>UMass Amherst (Grid Electricity)</v>
      </c>
      <c r="Z42" s="5">
        <f t="shared" si="11"/>
        <v>352514.55759579991</v>
      </c>
      <c r="AA42" s="5">
        <f t="shared" si="12"/>
        <v>376217.88746509957</v>
      </c>
      <c r="AB42" s="9" t="str">
        <f t="shared" si="13"/>
        <v>UMass Amherst</v>
      </c>
      <c r="AC42" s="9" t="str">
        <f t="shared" si="14"/>
        <v>Grid Electricity</v>
      </c>
      <c r="AD42" s="9" t="str">
        <f>VLOOKUP(AC42,PL!A:B,2,FALSE)</f>
        <v>Electricity</v>
      </c>
    </row>
    <row r="43" spans="1:30" s="9" customFormat="1" x14ac:dyDescent="0.25">
      <c r="A43" s="52">
        <v>2003</v>
      </c>
      <c r="B43" s="53" t="s">
        <v>15</v>
      </c>
      <c r="C43" s="53" t="s">
        <v>16</v>
      </c>
      <c r="D43" s="53" t="s">
        <v>21</v>
      </c>
      <c r="E43" s="53" t="s">
        <v>28</v>
      </c>
      <c r="F43" s="53" t="s">
        <v>30</v>
      </c>
      <c r="G43" s="54">
        <v>112219171</v>
      </c>
      <c r="H43" s="54">
        <v>382891811.45199996</v>
      </c>
      <c r="I43" s="55">
        <v>12344108.810000001</v>
      </c>
      <c r="J43" s="53" t="s">
        <v>90</v>
      </c>
      <c r="K43" s="32">
        <v>14775</v>
      </c>
      <c r="L43" s="32" t="s">
        <v>164</v>
      </c>
      <c r="M43" s="31">
        <f>IF(F43="electricity",0,VLOOKUP(L43,PL!H:L,2,FALSE))</f>
        <v>0</v>
      </c>
      <c r="N43" s="31">
        <f>IF(F43="electricity",VLOOKUP(L43,PL!H:L,3,FALSE),0)</f>
        <v>667</v>
      </c>
      <c r="O43" s="31">
        <f>IF(F43="electricity",0,VLOOKUP(L43,PL!H:L,4,FALSE))</f>
        <v>0</v>
      </c>
      <c r="P43" s="31">
        <f>IF(F43="electricity",VLOOKUP(L43,PL!H:L,5,FALSE),0)</f>
        <v>695</v>
      </c>
      <c r="Q43" s="30">
        <f t="shared" si="15"/>
        <v>0</v>
      </c>
      <c r="R43" s="30">
        <f t="shared" si="16"/>
        <v>1.0419790104947526</v>
      </c>
      <c r="S43" s="32">
        <f>VLOOKUP(E43,PL!A:C,3,FALSE)</f>
        <v>0.05</v>
      </c>
      <c r="T43" s="31">
        <f t="shared" si="17"/>
        <v>19144590.5726</v>
      </c>
      <c r="U43" s="31">
        <f t="shared" si="18"/>
        <v>363747220.87939996</v>
      </c>
      <c r="V43" s="31">
        <f t="shared" si="19"/>
        <v>383695482.42056489</v>
      </c>
      <c r="W43" s="32">
        <f t="shared" si="9"/>
        <v>3.4119999999999995</v>
      </c>
      <c r="X43" s="9" t="s">
        <v>131</v>
      </c>
      <c r="Y43" s="9" t="str">
        <f t="shared" si="10"/>
        <v>UMass Amherst (Grid Electricity)</v>
      </c>
      <c r="Z43" s="5">
        <f t="shared" si="11"/>
        <v>363747.22087939997</v>
      </c>
      <c r="AA43" s="5">
        <f t="shared" si="12"/>
        <v>383695.48242056486</v>
      </c>
      <c r="AB43" s="9" t="str">
        <f t="shared" si="13"/>
        <v>UMass Amherst</v>
      </c>
      <c r="AC43" s="9" t="str">
        <f t="shared" si="14"/>
        <v>Grid Electricity</v>
      </c>
      <c r="AD43" s="9" t="str">
        <f>VLOOKUP(AC43,PL!A:B,2,FALSE)</f>
        <v>Electricity</v>
      </c>
    </row>
    <row r="44" spans="1:30" s="9" customFormat="1" x14ac:dyDescent="0.25">
      <c r="A44" s="52">
        <v>2004</v>
      </c>
      <c r="B44" s="53" t="s">
        <v>15</v>
      </c>
      <c r="C44" s="53" t="s">
        <v>16</v>
      </c>
      <c r="D44" s="53" t="s">
        <v>21</v>
      </c>
      <c r="E44" s="53" t="s">
        <v>28</v>
      </c>
      <c r="F44" s="53" t="s">
        <v>30</v>
      </c>
      <c r="G44" s="54">
        <v>113452075</v>
      </c>
      <c r="H44" s="54">
        <v>387098479.89999998</v>
      </c>
      <c r="I44" s="55">
        <v>7452031</v>
      </c>
      <c r="J44" s="53" t="s">
        <v>90</v>
      </c>
      <c r="K44" s="32">
        <v>14775</v>
      </c>
      <c r="L44" s="32" t="s">
        <v>165</v>
      </c>
      <c r="M44" s="31">
        <f>IF(F44="electricity",0,VLOOKUP(L44,PL!H:L,2,FALSE))</f>
        <v>0</v>
      </c>
      <c r="N44" s="31">
        <f>IF(F44="electricity",VLOOKUP(L44,PL!H:L,3,FALSE),0)</f>
        <v>614</v>
      </c>
      <c r="O44" s="31">
        <f>IF(F44="electricity",0,VLOOKUP(L44,PL!H:L,4,FALSE))</f>
        <v>0</v>
      </c>
      <c r="P44" s="31">
        <f>IF(F44="electricity",VLOOKUP(L44,PL!H:L,5,FALSE),0)</f>
        <v>695</v>
      </c>
      <c r="Q44" s="30">
        <f t="shared" si="15"/>
        <v>0</v>
      </c>
      <c r="R44" s="30">
        <f t="shared" si="16"/>
        <v>1.1319218241042346</v>
      </c>
      <c r="S44" s="32">
        <f>VLOOKUP(E44,PL!A:C,3,FALSE)</f>
        <v>0.05</v>
      </c>
      <c r="T44" s="31">
        <f t="shared" si="17"/>
        <v>19354923.995000001</v>
      </c>
      <c r="U44" s="31">
        <f t="shared" si="18"/>
        <v>367743555.90499997</v>
      </c>
      <c r="V44" s="31">
        <f t="shared" si="19"/>
        <v>389651816.7788192</v>
      </c>
      <c r="W44" s="32">
        <f t="shared" si="9"/>
        <v>3.4119999999999999</v>
      </c>
      <c r="X44" s="9" t="s">
        <v>131</v>
      </c>
      <c r="Y44" s="9" t="str">
        <f t="shared" si="10"/>
        <v>UMass Amherst (Grid Electricity)</v>
      </c>
      <c r="Z44" s="5">
        <f t="shared" si="11"/>
        <v>367743.55590499996</v>
      </c>
      <c r="AA44" s="5">
        <f t="shared" si="12"/>
        <v>389651.81677881919</v>
      </c>
      <c r="AB44" s="9" t="str">
        <f t="shared" si="13"/>
        <v>UMass Amherst</v>
      </c>
      <c r="AC44" s="9" t="str">
        <f t="shared" si="14"/>
        <v>Grid Electricity</v>
      </c>
      <c r="AD44" s="9" t="str">
        <f>VLOOKUP(AC44,PL!A:B,2,FALSE)</f>
        <v>Electricity</v>
      </c>
    </row>
    <row r="45" spans="1:30" s="9" customFormat="1" x14ac:dyDescent="0.25">
      <c r="A45" s="52">
        <v>2005</v>
      </c>
      <c r="B45" s="53" t="s">
        <v>15</v>
      </c>
      <c r="C45" s="53" t="s">
        <v>16</v>
      </c>
      <c r="D45" s="53" t="s">
        <v>21</v>
      </c>
      <c r="E45" s="53" t="s">
        <v>28</v>
      </c>
      <c r="F45" s="53" t="s">
        <v>30</v>
      </c>
      <c r="G45" s="54">
        <v>111854228</v>
      </c>
      <c r="H45" s="54">
        <v>381646625.93599999</v>
      </c>
      <c r="I45" s="55">
        <v>7408063</v>
      </c>
      <c r="J45" s="53" t="s">
        <v>90</v>
      </c>
      <c r="K45" s="32">
        <v>14775</v>
      </c>
      <c r="L45" s="32" t="s">
        <v>166</v>
      </c>
      <c r="M45" s="31">
        <f>IF(F45="electricity",0,VLOOKUP(L45,PL!H:L,2,FALSE))</f>
        <v>0</v>
      </c>
      <c r="N45" s="31">
        <f>IF(F45="electricity",VLOOKUP(L45,PL!H:L,3,FALSE),0)</f>
        <v>606</v>
      </c>
      <c r="O45" s="31">
        <f>IF(F45="electricity",0,VLOOKUP(L45,PL!H:L,4,FALSE))</f>
        <v>0</v>
      </c>
      <c r="P45" s="31">
        <f>IF(F45="electricity",VLOOKUP(L45,PL!H:L,5,FALSE),0)</f>
        <v>695</v>
      </c>
      <c r="Q45" s="30">
        <f t="shared" si="15"/>
        <v>0</v>
      </c>
      <c r="R45" s="30">
        <f t="shared" si="16"/>
        <v>1.1468646864686469</v>
      </c>
      <c r="S45" s="32">
        <f>VLOOKUP(E45,PL!A:C,3,FALSE)</f>
        <v>0.05</v>
      </c>
      <c r="T45" s="31">
        <f t="shared" si="17"/>
        <v>19082331.296799999</v>
      </c>
      <c r="U45" s="31">
        <f t="shared" si="18"/>
        <v>362564294.63919997</v>
      </c>
      <c r="V45" s="31">
        <f t="shared" si="19"/>
        <v>384449146.53899533</v>
      </c>
      <c r="W45" s="32">
        <f t="shared" si="9"/>
        <v>3.4119999999999999</v>
      </c>
      <c r="X45" s="9" t="s">
        <v>131</v>
      </c>
      <c r="Y45" s="9" t="str">
        <f t="shared" si="10"/>
        <v>UMass Amherst (Grid Electricity)</v>
      </c>
      <c r="Z45" s="5">
        <f t="shared" si="11"/>
        <v>362564.29463919997</v>
      </c>
      <c r="AA45" s="5">
        <f t="shared" si="12"/>
        <v>384449.14653899532</v>
      </c>
      <c r="AB45" s="9" t="str">
        <f t="shared" si="13"/>
        <v>UMass Amherst</v>
      </c>
      <c r="AC45" s="9" t="str">
        <f t="shared" si="14"/>
        <v>Grid Electricity</v>
      </c>
      <c r="AD45" s="9" t="str">
        <f>VLOOKUP(AC45,PL!A:B,2,FALSE)</f>
        <v>Electricity</v>
      </c>
    </row>
    <row r="46" spans="1:30" s="9" customFormat="1" x14ac:dyDescent="0.25">
      <c r="A46" s="52">
        <v>2006</v>
      </c>
      <c r="B46" s="53" t="s">
        <v>15</v>
      </c>
      <c r="C46" s="53" t="s">
        <v>16</v>
      </c>
      <c r="D46" s="53" t="s">
        <v>21</v>
      </c>
      <c r="E46" s="53" t="s">
        <v>28</v>
      </c>
      <c r="F46" s="53" t="s">
        <v>30</v>
      </c>
      <c r="G46" s="54">
        <v>114836355</v>
      </c>
      <c r="H46" s="54">
        <v>391821643.25999999</v>
      </c>
      <c r="I46" s="55">
        <v>7822819</v>
      </c>
      <c r="J46" s="53" t="s">
        <v>90</v>
      </c>
      <c r="K46" s="32">
        <v>14775</v>
      </c>
      <c r="L46" s="32" t="s">
        <v>155</v>
      </c>
      <c r="M46" s="31">
        <f>IF(F46="electricity",0,VLOOKUP(L46,PL!H:L,2,FALSE))</f>
        <v>0</v>
      </c>
      <c r="N46" s="31">
        <f>IF(F46="electricity",VLOOKUP(L46,PL!H:L,3,FALSE),0)</f>
        <v>784</v>
      </c>
      <c r="O46" s="31">
        <f>IF(F46="electricity",0,VLOOKUP(L46,PL!H:L,4,FALSE))</f>
        <v>0</v>
      </c>
      <c r="P46" s="31">
        <f>IF(F46="electricity",VLOOKUP(L46,PL!H:L,5,FALSE),0)</f>
        <v>695</v>
      </c>
      <c r="Q46" s="30">
        <f t="shared" si="15"/>
        <v>0</v>
      </c>
      <c r="R46" s="30">
        <f t="shared" si="16"/>
        <v>0.88647959183673475</v>
      </c>
      <c r="S46" s="32">
        <f>VLOOKUP(E46,PL!A:C,3,FALSE)</f>
        <v>0.05</v>
      </c>
      <c r="T46" s="31">
        <f t="shared" si="17"/>
        <v>19591082.162999999</v>
      </c>
      <c r="U46" s="31">
        <f t="shared" si="18"/>
        <v>372230561.097</v>
      </c>
      <c r="V46" s="31">
        <f t="shared" si="19"/>
        <v>389597655.61649621</v>
      </c>
      <c r="W46" s="32">
        <f t="shared" si="9"/>
        <v>3.4119999999999999</v>
      </c>
      <c r="X46" s="9" t="s">
        <v>131</v>
      </c>
      <c r="Y46" s="9" t="str">
        <f t="shared" si="10"/>
        <v>UMass Amherst (Grid Electricity)</v>
      </c>
      <c r="Z46" s="5">
        <f t="shared" si="11"/>
        <v>372230.56109700003</v>
      </c>
      <c r="AA46" s="5">
        <f t="shared" si="12"/>
        <v>389597.65561649622</v>
      </c>
      <c r="AB46" s="9" t="str">
        <f t="shared" si="13"/>
        <v>UMass Amherst</v>
      </c>
      <c r="AC46" s="9" t="str">
        <f t="shared" si="14"/>
        <v>Grid Electricity</v>
      </c>
      <c r="AD46" s="9" t="str">
        <f>VLOOKUP(AC46,PL!A:B,2,FALSE)</f>
        <v>Electricity</v>
      </c>
    </row>
    <row r="47" spans="1:30" s="9" customFormat="1" x14ac:dyDescent="0.25">
      <c r="A47" s="52">
        <v>2007</v>
      </c>
      <c r="B47" s="53" t="s">
        <v>15</v>
      </c>
      <c r="C47" s="53" t="s">
        <v>16</v>
      </c>
      <c r="D47" s="53" t="s">
        <v>21</v>
      </c>
      <c r="E47" s="53" t="s">
        <v>28</v>
      </c>
      <c r="F47" s="53" t="s">
        <v>30</v>
      </c>
      <c r="G47" s="54">
        <v>109318514</v>
      </c>
      <c r="H47" s="54">
        <v>372994769.76800001</v>
      </c>
      <c r="I47" s="55">
        <v>10829171.25</v>
      </c>
      <c r="J47" s="53" t="s">
        <v>90</v>
      </c>
      <c r="K47" s="32">
        <v>14775</v>
      </c>
      <c r="L47" s="32" t="s">
        <v>156</v>
      </c>
      <c r="M47" s="31">
        <f>IF(F47="electricity",0,VLOOKUP(L47,PL!H:L,2,FALSE))</f>
        <v>0</v>
      </c>
      <c r="N47" s="31">
        <f>IF(F47="electricity",VLOOKUP(L47,PL!H:L,3,FALSE),0)</f>
        <v>682</v>
      </c>
      <c r="O47" s="31">
        <f>IF(F47="electricity",0,VLOOKUP(L47,PL!H:L,4,FALSE))</f>
        <v>0</v>
      </c>
      <c r="P47" s="31">
        <f>IF(F47="electricity",VLOOKUP(L47,PL!H:L,5,FALSE),0)</f>
        <v>695</v>
      </c>
      <c r="Q47" s="30">
        <f t="shared" si="15"/>
        <v>0</v>
      </c>
      <c r="R47" s="30">
        <f t="shared" si="16"/>
        <v>1.0190615835777126</v>
      </c>
      <c r="S47" s="32">
        <f>VLOOKUP(E47,PL!A:C,3,FALSE)</f>
        <v>0.05</v>
      </c>
      <c r="T47" s="31">
        <f t="shared" si="17"/>
        <v>18649738.488400001</v>
      </c>
      <c r="U47" s="31">
        <f t="shared" si="18"/>
        <v>354345031.27959996</v>
      </c>
      <c r="V47" s="31">
        <f t="shared" si="19"/>
        <v>373350263.31689906</v>
      </c>
      <c r="W47" s="32">
        <f t="shared" si="9"/>
        <v>3.4119999999999999</v>
      </c>
      <c r="X47" s="9" t="s">
        <v>131</v>
      </c>
      <c r="Y47" s="9" t="str">
        <f t="shared" si="10"/>
        <v>UMass Amherst (Grid Electricity)</v>
      </c>
      <c r="Z47" s="5">
        <f t="shared" si="11"/>
        <v>354345.03127959999</v>
      </c>
      <c r="AA47" s="5">
        <f t="shared" si="12"/>
        <v>373350.26331689907</v>
      </c>
      <c r="AB47" s="9" t="str">
        <f t="shared" si="13"/>
        <v>UMass Amherst</v>
      </c>
      <c r="AC47" s="9" t="str">
        <f t="shared" si="14"/>
        <v>Grid Electricity</v>
      </c>
      <c r="AD47" s="9" t="str">
        <f>VLOOKUP(AC47,PL!A:B,2,FALSE)</f>
        <v>Electricity</v>
      </c>
    </row>
    <row r="48" spans="1:30" s="9" customFormat="1" x14ac:dyDescent="0.25">
      <c r="A48" s="52">
        <v>2008</v>
      </c>
      <c r="B48" s="53" t="s">
        <v>15</v>
      </c>
      <c r="C48" s="53" t="s">
        <v>16</v>
      </c>
      <c r="D48" s="53" t="s">
        <v>21</v>
      </c>
      <c r="E48" s="53" t="s">
        <v>28</v>
      </c>
      <c r="F48" s="53" t="s">
        <v>30</v>
      </c>
      <c r="G48" s="54">
        <v>107377255</v>
      </c>
      <c r="H48" s="54">
        <v>366371194.06</v>
      </c>
      <c r="I48" s="55">
        <v>13959043.15</v>
      </c>
      <c r="J48" s="53" t="s">
        <v>90</v>
      </c>
      <c r="K48" s="32">
        <v>14775</v>
      </c>
      <c r="L48" s="32" t="s">
        <v>157</v>
      </c>
      <c r="M48" s="31">
        <f>IF(F48="electricity",0,VLOOKUP(L48,PL!H:L,2,FALSE))</f>
        <v>0</v>
      </c>
      <c r="N48" s="31">
        <f>IF(F48="electricity",VLOOKUP(L48,PL!H:L,3,FALSE),0)</f>
        <v>646</v>
      </c>
      <c r="O48" s="31">
        <f>IF(F48="electricity",0,VLOOKUP(L48,PL!H:L,4,FALSE))</f>
        <v>0</v>
      </c>
      <c r="P48" s="31">
        <f>IF(F48="electricity",VLOOKUP(L48,PL!H:L,5,FALSE),0)</f>
        <v>695</v>
      </c>
      <c r="Q48" s="30">
        <f t="shared" si="15"/>
        <v>0</v>
      </c>
      <c r="R48" s="30">
        <f t="shared" si="16"/>
        <v>1.0758513931888545</v>
      </c>
      <c r="S48" s="32">
        <f>VLOOKUP(E48,PL!A:C,3,FALSE)</f>
        <v>0.05</v>
      </c>
      <c r="T48" s="31">
        <f t="shared" si="17"/>
        <v>18318559.703000002</v>
      </c>
      <c r="U48" s="31">
        <f t="shared" si="18"/>
        <v>348052634.35699999</v>
      </c>
      <c r="V48" s="31">
        <f t="shared" si="19"/>
        <v>367760682.33468574</v>
      </c>
      <c r="W48" s="32">
        <f t="shared" si="9"/>
        <v>3.4119999999999999</v>
      </c>
      <c r="X48" s="9" t="s">
        <v>131</v>
      </c>
      <c r="Y48" s="9" t="str">
        <f t="shared" si="10"/>
        <v>UMass Amherst (Grid Electricity)</v>
      </c>
      <c r="Z48" s="5">
        <f t="shared" si="11"/>
        <v>348052.634357</v>
      </c>
      <c r="AA48" s="5">
        <f t="shared" si="12"/>
        <v>367760.68233468576</v>
      </c>
      <c r="AB48" s="9" t="str">
        <f t="shared" si="13"/>
        <v>UMass Amherst</v>
      </c>
      <c r="AC48" s="9" t="str">
        <f t="shared" si="14"/>
        <v>Grid Electricity</v>
      </c>
      <c r="AD48" s="9" t="str">
        <f>VLOOKUP(AC48,PL!A:B,2,FALSE)</f>
        <v>Electricity</v>
      </c>
    </row>
    <row r="49" spans="1:30" s="9" customFormat="1" x14ac:dyDescent="0.25">
      <c r="A49" s="52">
        <v>2009</v>
      </c>
      <c r="B49" s="53" t="s">
        <v>15</v>
      </c>
      <c r="C49" s="53" t="s">
        <v>16</v>
      </c>
      <c r="D49" s="53" t="s">
        <v>21</v>
      </c>
      <c r="E49" s="53" t="s">
        <v>28</v>
      </c>
      <c r="F49" s="53" t="s">
        <v>30</v>
      </c>
      <c r="G49" s="54">
        <v>59464078</v>
      </c>
      <c r="H49" s="54">
        <v>202891434.13600001</v>
      </c>
      <c r="I49" s="55">
        <v>8746482.9199999999</v>
      </c>
      <c r="J49" s="53" t="s">
        <v>90</v>
      </c>
      <c r="K49" s="32">
        <v>14775</v>
      </c>
      <c r="L49" s="32" t="s">
        <v>158</v>
      </c>
      <c r="M49" s="31">
        <f>IF(F49="electricity",0,VLOOKUP(L49,PL!H:L,2,FALSE))</f>
        <v>0</v>
      </c>
      <c r="N49" s="31">
        <f>IF(F49="electricity",VLOOKUP(L49,PL!H:L,3,FALSE),0)</f>
        <v>546</v>
      </c>
      <c r="O49" s="31">
        <f>IF(F49="electricity",0,VLOOKUP(L49,PL!H:L,4,FALSE))</f>
        <v>0</v>
      </c>
      <c r="P49" s="31">
        <f>IF(F49="electricity",VLOOKUP(L49,PL!H:L,5,FALSE),0)</f>
        <v>695</v>
      </c>
      <c r="Q49" s="30">
        <f t="shared" si="15"/>
        <v>0</v>
      </c>
      <c r="R49" s="30">
        <f t="shared" si="16"/>
        <v>1.2728937728937728</v>
      </c>
      <c r="S49" s="32">
        <f>VLOOKUP(E49,PL!A:C,3,FALSE)</f>
        <v>0.05</v>
      </c>
      <c r="T49" s="31">
        <f t="shared" si="17"/>
        <v>10144571.706800001</v>
      </c>
      <c r="U49" s="31">
        <f t="shared" si="18"/>
        <v>192746862.42919999</v>
      </c>
      <c r="V49" s="31">
        <f t="shared" si="19"/>
        <v>205659824.58346006</v>
      </c>
      <c r="W49" s="32">
        <f t="shared" si="9"/>
        <v>3.4119999999999999</v>
      </c>
      <c r="X49" s="9" t="s">
        <v>131</v>
      </c>
      <c r="Y49" s="9" t="str">
        <f t="shared" si="10"/>
        <v>UMass Amherst (Grid Electricity)</v>
      </c>
      <c r="Z49" s="5">
        <f t="shared" si="11"/>
        <v>192746.8624292</v>
      </c>
      <c r="AA49" s="5">
        <f t="shared" si="12"/>
        <v>205659.82458346005</v>
      </c>
      <c r="AB49" s="9" t="str">
        <f t="shared" si="13"/>
        <v>UMass Amherst</v>
      </c>
      <c r="AC49" s="9" t="str">
        <f t="shared" si="14"/>
        <v>Grid Electricity</v>
      </c>
      <c r="AD49" s="9" t="str">
        <f>VLOOKUP(AC49,PL!A:B,2,FALSE)</f>
        <v>Electricity</v>
      </c>
    </row>
    <row r="50" spans="1:30" s="9" customFormat="1" x14ac:dyDescent="0.25">
      <c r="A50" s="52">
        <v>2010</v>
      </c>
      <c r="B50" s="53" t="s">
        <v>15</v>
      </c>
      <c r="C50" s="53" t="s">
        <v>16</v>
      </c>
      <c r="D50" s="53" t="s">
        <v>21</v>
      </c>
      <c r="E50" s="53" t="s">
        <v>28</v>
      </c>
      <c r="F50" s="53" t="s">
        <v>30</v>
      </c>
      <c r="G50" s="54">
        <v>42589557</v>
      </c>
      <c r="H50" s="54">
        <v>145315568.484</v>
      </c>
      <c r="I50" s="55">
        <v>6426728</v>
      </c>
      <c r="J50" s="53" t="s">
        <v>90</v>
      </c>
      <c r="K50" s="32">
        <v>14775</v>
      </c>
      <c r="L50" s="32" t="s">
        <v>159</v>
      </c>
      <c r="M50" s="31">
        <f>IF(F50="electricity",0,VLOOKUP(L50,PL!H:L,2,FALSE))</f>
        <v>0</v>
      </c>
      <c r="N50" s="31">
        <f>IF(F50="electricity",VLOOKUP(L50,PL!H:L,3,FALSE),0)</f>
        <v>622</v>
      </c>
      <c r="O50" s="31">
        <f>IF(F50="electricity",0,VLOOKUP(L50,PL!H:L,4,FALSE))</f>
        <v>0</v>
      </c>
      <c r="P50" s="31">
        <f>IF(F50="electricity",VLOOKUP(L50,PL!H:L,5,FALSE),0)</f>
        <v>695</v>
      </c>
      <c r="Q50" s="30">
        <f t="shared" si="15"/>
        <v>0</v>
      </c>
      <c r="R50" s="30">
        <f t="shared" si="16"/>
        <v>1.117363344051447</v>
      </c>
      <c r="S50" s="32">
        <f>VLOOKUP(E50,PL!A:C,3,FALSE)</f>
        <v>0.05</v>
      </c>
      <c r="T50" s="31">
        <f t="shared" si="17"/>
        <v>7265778.4242000002</v>
      </c>
      <c r="U50" s="31">
        <f t="shared" si="18"/>
        <v>138049790.0598</v>
      </c>
      <c r="V50" s="31">
        <f t="shared" si="19"/>
        <v>146168304.53700095</v>
      </c>
      <c r="W50" s="32">
        <f t="shared" si="9"/>
        <v>3.4119999999999999</v>
      </c>
      <c r="X50" s="9" t="s">
        <v>131</v>
      </c>
      <c r="Y50" s="9" t="str">
        <f t="shared" si="10"/>
        <v>UMass Amherst (Grid Electricity)</v>
      </c>
      <c r="Z50" s="5">
        <f t="shared" si="11"/>
        <v>138049.7900598</v>
      </c>
      <c r="AA50" s="5">
        <f t="shared" si="12"/>
        <v>146168.30453700095</v>
      </c>
      <c r="AB50" s="9" t="str">
        <f t="shared" si="13"/>
        <v>UMass Amherst</v>
      </c>
      <c r="AC50" s="9" t="str">
        <f t="shared" si="14"/>
        <v>Grid Electricity</v>
      </c>
      <c r="AD50" s="9" t="str">
        <f>VLOOKUP(AC50,PL!A:B,2,FALSE)</f>
        <v>Electricity</v>
      </c>
    </row>
    <row r="51" spans="1:30" s="9" customFormat="1" x14ac:dyDescent="0.25">
      <c r="A51" s="52">
        <v>2011</v>
      </c>
      <c r="B51" s="53" t="s">
        <v>15</v>
      </c>
      <c r="C51" s="53" t="s">
        <v>16</v>
      </c>
      <c r="D51" s="53" t="s">
        <v>21</v>
      </c>
      <c r="E51" s="53" t="s">
        <v>28</v>
      </c>
      <c r="F51" s="53" t="s">
        <v>30</v>
      </c>
      <c r="G51" s="54">
        <v>38671377</v>
      </c>
      <c r="H51" s="54">
        <v>131946738.324</v>
      </c>
      <c r="I51" s="55">
        <v>5933203</v>
      </c>
      <c r="J51" s="53" t="s">
        <v>90</v>
      </c>
      <c r="K51" s="32">
        <v>14775</v>
      </c>
      <c r="L51" s="32" t="s">
        <v>160</v>
      </c>
      <c r="M51" s="31">
        <f>IF(F51="electricity",0,VLOOKUP(L51,PL!H:L,2,FALSE))</f>
        <v>0</v>
      </c>
      <c r="N51" s="31">
        <f>IF(F51="electricity",VLOOKUP(L51,PL!H:L,3,FALSE),0)</f>
        <v>921</v>
      </c>
      <c r="O51" s="31">
        <f>IF(F51="electricity",0,VLOOKUP(L51,PL!H:L,4,FALSE))</f>
        <v>0</v>
      </c>
      <c r="P51" s="31">
        <f>IF(F51="electricity",VLOOKUP(L51,PL!H:L,5,FALSE),0)</f>
        <v>695</v>
      </c>
      <c r="Q51" s="30">
        <f t="shared" si="15"/>
        <v>0</v>
      </c>
      <c r="R51" s="30">
        <f t="shared" si="16"/>
        <v>0.75461454940282302</v>
      </c>
      <c r="S51" s="32">
        <f>VLOOKUP(E51,PL!A:C,3,FALSE)</f>
        <v>0.05</v>
      </c>
      <c r="T51" s="31">
        <f t="shared" si="17"/>
        <v>6597336.9162000008</v>
      </c>
      <c r="U51" s="31">
        <f t="shared" si="18"/>
        <v>125349401.40779999</v>
      </c>
      <c r="V51" s="31">
        <f t="shared" si="19"/>
        <v>130327847.83207686</v>
      </c>
      <c r="W51" s="32">
        <f t="shared" si="9"/>
        <v>3.4119999999999999</v>
      </c>
      <c r="X51" s="9" t="s">
        <v>131</v>
      </c>
      <c r="Y51" s="9" t="str">
        <f t="shared" si="10"/>
        <v>UMass Amherst (Grid Electricity)</v>
      </c>
      <c r="Z51" s="5">
        <f t="shared" si="11"/>
        <v>125349.40140779999</v>
      </c>
      <c r="AA51" s="5">
        <f t="shared" si="12"/>
        <v>130327.84783207686</v>
      </c>
      <c r="AB51" s="9" t="str">
        <f t="shared" si="13"/>
        <v>UMass Amherst</v>
      </c>
      <c r="AC51" s="9" t="str">
        <f t="shared" si="14"/>
        <v>Grid Electricity</v>
      </c>
      <c r="AD51" s="9" t="str">
        <f>VLOOKUP(AC51,PL!A:B,2,FALSE)</f>
        <v>Electricity</v>
      </c>
    </row>
    <row r="52" spans="1:30" s="9" customFormat="1" x14ac:dyDescent="0.25">
      <c r="A52" s="52">
        <v>2012</v>
      </c>
      <c r="B52" s="53" t="s">
        <v>15</v>
      </c>
      <c r="C52" s="53" t="s">
        <v>16</v>
      </c>
      <c r="D52" s="53" t="s">
        <v>21</v>
      </c>
      <c r="E52" s="53" t="s">
        <v>28</v>
      </c>
      <c r="F52" s="53" t="s">
        <v>30</v>
      </c>
      <c r="G52" s="54">
        <v>43527184</v>
      </c>
      <c r="H52" s="54">
        <v>148514751.808</v>
      </c>
      <c r="I52" s="55">
        <v>6137880</v>
      </c>
      <c r="J52" s="53" t="s">
        <v>90</v>
      </c>
      <c r="K52" s="32">
        <v>14775</v>
      </c>
      <c r="L52" s="32" t="s">
        <v>161</v>
      </c>
      <c r="M52" s="31">
        <f>IF(F52="electricity",0,VLOOKUP(L52,PL!H:L,2,FALSE))</f>
        <v>0</v>
      </c>
      <c r="N52" s="31">
        <f>IF(F52="electricity",VLOOKUP(L52,PL!H:L,3,FALSE),0)</f>
        <v>853</v>
      </c>
      <c r="O52" s="31">
        <f>IF(F52="electricity",0,VLOOKUP(L52,PL!H:L,4,FALSE))</f>
        <v>0</v>
      </c>
      <c r="P52" s="31">
        <f>IF(F52="electricity",VLOOKUP(L52,PL!H:L,5,FALSE),0)</f>
        <v>695</v>
      </c>
      <c r="Q52" s="30">
        <f t="shared" si="15"/>
        <v>0</v>
      </c>
      <c r="R52" s="30">
        <f t="shared" si="16"/>
        <v>0.81477139507620167</v>
      </c>
      <c r="S52" s="32">
        <f>VLOOKUP(E52,PL!A:C,3,FALSE)</f>
        <v>0.05</v>
      </c>
      <c r="T52" s="31">
        <f t="shared" si="17"/>
        <v>7425737.5904000001</v>
      </c>
      <c r="U52" s="31">
        <f t="shared" si="18"/>
        <v>141089014.21759999</v>
      </c>
      <c r="V52" s="31">
        <f t="shared" si="19"/>
        <v>147139292.79359999</v>
      </c>
      <c r="W52" s="32">
        <f t="shared" si="9"/>
        <v>3.4119999999999999</v>
      </c>
      <c r="X52" s="9" t="s">
        <v>131</v>
      </c>
      <c r="Y52" s="9" t="str">
        <f t="shared" si="10"/>
        <v>UMass Amherst (Grid Electricity)</v>
      </c>
      <c r="Z52" s="5">
        <f t="shared" si="11"/>
        <v>141089.01421759999</v>
      </c>
      <c r="AA52" s="5">
        <f t="shared" si="12"/>
        <v>147139.29279360001</v>
      </c>
      <c r="AB52" s="9" t="str">
        <f t="shared" si="13"/>
        <v>UMass Amherst</v>
      </c>
      <c r="AC52" s="9" t="str">
        <f t="shared" si="14"/>
        <v>Grid Electricity</v>
      </c>
      <c r="AD52" s="9" t="str">
        <f>VLOOKUP(AC52,PL!A:B,2,FALSE)</f>
        <v>Electricity</v>
      </c>
    </row>
    <row r="53" spans="1:30" s="9" customFormat="1" x14ac:dyDescent="0.25">
      <c r="A53" s="52">
        <v>2013</v>
      </c>
      <c r="B53" s="53" t="s">
        <v>15</v>
      </c>
      <c r="C53" s="53" t="s">
        <v>16</v>
      </c>
      <c r="D53" s="53" t="s">
        <v>21</v>
      </c>
      <c r="E53" s="53" t="s">
        <v>28</v>
      </c>
      <c r="F53" s="53" t="s">
        <v>30</v>
      </c>
      <c r="G53" s="54">
        <v>38189014</v>
      </c>
      <c r="H53" s="54">
        <v>130300915.76799999</v>
      </c>
      <c r="I53" s="55">
        <v>5967700</v>
      </c>
      <c r="J53" s="53" t="s">
        <v>90</v>
      </c>
      <c r="K53" s="32">
        <v>14775</v>
      </c>
      <c r="L53" s="32" t="s">
        <v>162</v>
      </c>
      <c r="M53" s="31">
        <f>IF(F53="electricity",0,VLOOKUP(L53,PL!H:L,2,FALSE))</f>
        <v>0</v>
      </c>
      <c r="N53" s="31">
        <f>IF(F53="electricity",VLOOKUP(L53,PL!H:L,3,FALSE),0)</f>
        <v>942</v>
      </c>
      <c r="O53" s="31">
        <f>IF(F53="electricity",0,VLOOKUP(L53,PL!H:L,4,FALSE))</f>
        <v>0</v>
      </c>
      <c r="P53" s="31">
        <f>IF(F53="electricity",VLOOKUP(L53,PL!H:L,5,FALSE),0)</f>
        <v>695</v>
      </c>
      <c r="Q53" s="30">
        <f t="shared" si="15"/>
        <v>0</v>
      </c>
      <c r="R53" s="30">
        <f t="shared" si="16"/>
        <v>0.73779193205944793</v>
      </c>
      <c r="S53" s="32">
        <f>VLOOKUP(E53,PL!A:C,3,FALSE)</f>
        <v>0.05</v>
      </c>
      <c r="T53" s="31">
        <f t="shared" si="17"/>
        <v>6515045.7884</v>
      </c>
      <c r="U53" s="31">
        <f t="shared" si="18"/>
        <v>123785869.97959998</v>
      </c>
      <c r="V53" s="31">
        <f t="shared" si="19"/>
        <v>128592618.19927938</v>
      </c>
      <c r="W53" s="32">
        <f t="shared" si="9"/>
        <v>3.4119999999999999</v>
      </c>
      <c r="X53" s="9" t="s">
        <v>131</v>
      </c>
      <c r="Y53" s="9" t="str">
        <f t="shared" si="10"/>
        <v>UMass Amherst (Grid Electricity)</v>
      </c>
      <c r="Z53" s="5">
        <f t="shared" si="11"/>
        <v>123785.86997959999</v>
      </c>
      <c r="AA53" s="5">
        <f t="shared" si="12"/>
        <v>128592.61819927939</v>
      </c>
      <c r="AB53" s="9" t="str">
        <f t="shared" si="13"/>
        <v>UMass Amherst</v>
      </c>
      <c r="AC53" s="9" t="str">
        <f t="shared" si="14"/>
        <v>Grid Electricity</v>
      </c>
      <c r="AD53" s="9" t="str">
        <f>VLOOKUP(AC53,PL!A:B,2,FALSE)</f>
        <v>Electricity</v>
      </c>
    </row>
    <row r="54" spans="1:30" s="9" customFormat="1" x14ac:dyDescent="0.25">
      <c r="A54" s="75">
        <v>2014</v>
      </c>
      <c r="B54" s="36" t="s">
        <v>15</v>
      </c>
      <c r="C54" s="71" t="s">
        <v>16</v>
      </c>
      <c r="D54" s="36" t="s">
        <v>21</v>
      </c>
      <c r="E54" s="21" t="s">
        <v>28</v>
      </c>
      <c r="F54" s="36" t="s">
        <v>30</v>
      </c>
      <c r="G54" s="54">
        <v>40975240</v>
      </c>
      <c r="H54" s="54">
        <v>139807518.88</v>
      </c>
      <c r="I54" s="55">
        <v>5552792.1900000004</v>
      </c>
      <c r="J54" s="36" t="s">
        <v>90</v>
      </c>
      <c r="K54" s="71">
        <v>14775</v>
      </c>
      <c r="L54" s="68" t="s">
        <v>174</v>
      </c>
      <c r="M54" s="31">
        <f>IF(F54="electricity",0,VLOOKUP(L54,PL!H:L,2,FALSE))</f>
        <v>0</v>
      </c>
      <c r="N54" s="31">
        <f>IF(F54="electricity",VLOOKUP(L54,PL!H:L,3,FALSE),0)</f>
        <v>704</v>
      </c>
      <c r="O54" s="31">
        <f>IF(F54="electricity",0,VLOOKUP(L54,PL!H:L,4,FALSE))</f>
        <v>0</v>
      </c>
      <c r="P54" s="31">
        <f>IF(F54="electricity",VLOOKUP(L54,PL!H:L,5,FALSE),0)</f>
        <v>695</v>
      </c>
      <c r="Q54" s="30">
        <f t="shared" si="15"/>
        <v>0</v>
      </c>
      <c r="R54" s="30">
        <f t="shared" si="16"/>
        <v>0.98721590909090906</v>
      </c>
      <c r="S54" s="71">
        <f>VLOOKUP(E54,PL!A:C,3,FALSE)</f>
        <v>0.05</v>
      </c>
      <c r="T54" s="31">
        <f t="shared" ref="T54:T56" si="20">H54*S54</f>
        <v>6990375.9440000001</v>
      </c>
      <c r="U54" s="31">
        <f t="shared" ref="U54:U56" si="21">H54*(1-S54)</f>
        <v>132817142.93599999</v>
      </c>
      <c r="V54" s="31">
        <f t="shared" ref="V54:V56" si="22">IF(Q54=0,(T54*R54)+U54,(T54*Q54)+U54)</f>
        <v>139718153.27844316</v>
      </c>
      <c r="W54" s="32">
        <f t="shared" si="9"/>
        <v>3.4119999999999999</v>
      </c>
      <c r="X54" s="9" t="s">
        <v>131</v>
      </c>
      <c r="Y54" s="9" t="str">
        <f t="shared" si="10"/>
        <v>UMass Amherst (Grid Electricity)</v>
      </c>
      <c r="Z54" s="5">
        <f t="shared" si="11"/>
        <v>132817.14293599999</v>
      </c>
      <c r="AA54" s="5">
        <f t="shared" si="12"/>
        <v>139718.15327844315</v>
      </c>
      <c r="AB54" s="9" t="str">
        <f t="shared" si="13"/>
        <v>UMass Amherst</v>
      </c>
      <c r="AC54" s="9" t="str">
        <f t="shared" si="14"/>
        <v>Grid Electricity</v>
      </c>
      <c r="AD54" s="9" t="str">
        <f>VLOOKUP(AC54,PL!A:B,2,FALSE)</f>
        <v>Electricity</v>
      </c>
    </row>
    <row r="55" spans="1:30" s="9" customFormat="1" x14ac:dyDescent="0.25">
      <c r="A55" s="75">
        <v>2015</v>
      </c>
      <c r="B55" s="36" t="s">
        <v>15</v>
      </c>
      <c r="C55" s="71" t="s">
        <v>16</v>
      </c>
      <c r="D55" s="36" t="s">
        <v>21</v>
      </c>
      <c r="E55" s="21" t="s">
        <v>28</v>
      </c>
      <c r="F55" s="36" t="s">
        <v>30</v>
      </c>
      <c r="G55" s="54">
        <v>36491618</v>
      </c>
      <c r="H55" s="54">
        <v>124509400.616</v>
      </c>
      <c r="I55" s="55">
        <v>4776500.55</v>
      </c>
      <c r="J55" s="36" t="s">
        <v>90</v>
      </c>
      <c r="K55" s="71">
        <v>14775</v>
      </c>
      <c r="L55" s="68" t="s">
        <v>175</v>
      </c>
      <c r="M55" s="31">
        <f>IF(F55="electricity",0,VLOOKUP(L55,PL!H:L,2,FALSE))</f>
        <v>0</v>
      </c>
      <c r="N55" s="31">
        <f>IF(F55="electricity",VLOOKUP(L55,PL!H:L,3,FALSE),0)</f>
        <v>673</v>
      </c>
      <c r="O55" s="31">
        <f>IF(F55="electricity",0,VLOOKUP(L55,PL!H:L,4,FALSE))</f>
        <v>0</v>
      </c>
      <c r="P55" s="31">
        <f>IF(F55="electricity",VLOOKUP(L55,PL!H:L,5,FALSE),0)</f>
        <v>695</v>
      </c>
      <c r="Q55" s="30">
        <f t="shared" ref="Q55:Q56" si="23">IFERROR(O55/M55,0)</f>
        <v>0</v>
      </c>
      <c r="R55" s="30">
        <f t="shared" ref="R55:R56" si="24">IFERROR(P55/N55,0)</f>
        <v>1.0326894502228827</v>
      </c>
      <c r="S55" s="71">
        <f>VLOOKUP(E55,PL!A:C,3,FALSE)</f>
        <v>0.05</v>
      </c>
      <c r="T55" s="31">
        <f t="shared" si="20"/>
        <v>6225470.0307999998</v>
      </c>
      <c r="U55" s="31">
        <f t="shared" si="21"/>
        <v>118283930.5852</v>
      </c>
      <c r="V55" s="31">
        <f t="shared" si="22"/>
        <v>124712907.80868588</v>
      </c>
      <c r="W55" s="32">
        <f t="shared" si="9"/>
        <v>3.4119999999999999</v>
      </c>
      <c r="X55" s="9" t="s">
        <v>131</v>
      </c>
      <c r="Y55" s="9" t="str">
        <f t="shared" si="10"/>
        <v>UMass Amherst (Grid Electricity)</v>
      </c>
      <c r="Z55" s="5">
        <f t="shared" si="11"/>
        <v>118283.9305852</v>
      </c>
      <c r="AA55" s="5">
        <f t="shared" si="12"/>
        <v>124712.90780868588</v>
      </c>
      <c r="AB55" s="9" t="str">
        <f t="shared" si="13"/>
        <v>UMass Amherst</v>
      </c>
      <c r="AC55" s="9" t="str">
        <f t="shared" si="14"/>
        <v>Grid Electricity</v>
      </c>
      <c r="AD55" s="9" t="str">
        <f>VLOOKUP(AC55,PL!A:B,2,FALSE)</f>
        <v>Electricity</v>
      </c>
    </row>
    <row r="56" spans="1:30" s="9" customFormat="1" x14ac:dyDescent="0.25">
      <c r="A56" s="75">
        <v>2016</v>
      </c>
      <c r="B56" s="36" t="s">
        <v>15</v>
      </c>
      <c r="C56" s="71" t="s">
        <v>16</v>
      </c>
      <c r="D56" s="36" t="s">
        <v>21</v>
      </c>
      <c r="E56" s="21" t="s">
        <v>28</v>
      </c>
      <c r="F56" s="36" t="s">
        <v>30</v>
      </c>
      <c r="G56" s="54">
        <v>48651545</v>
      </c>
      <c r="H56" s="54">
        <v>165999071.53999999</v>
      </c>
      <c r="I56" s="55">
        <v>5911952.0099999998</v>
      </c>
      <c r="J56" s="36" t="s">
        <v>90</v>
      </c>
      <c r="K56" s="71">
        <v>14775</v>
      </c>
      <c r="L56" s="68" t="s">
        <v>176</v>
      </c>
      <c r="M56" s="31">
        <f>IF(F56="electricity",0,VLOOKUP(L56,PL!H:L,2,FALSE))</f>
        <v>0</v>
      </c>
      <c r="N56" s="31">
        <f>IF(F56="electricity",VLOOKUP(L56,PL!H:L,3,FALSE),0)</f>
        <v>780</v>
      </c>
      <c r="O56" s="31">
        <f>IF(F56="electricity",0,VLOOKUP(L56,PL!H:L,4,FALSE))</f>
        <v>0</v>
      </c>
      <c r="P56" s="31">
        <f>IF(F56="electricity",VLOOKUP(L56,PL!H:L,5,FALSE),0)</f>
        <v>695</v>
      </c>
      <c r="Q56" s="30">
        <f t="shared" si="23"/>
        <v>0</v>
      </c>
      <c r="R56" s="30">
        <f t="shared" si="24"/>
        <v>0.89102564102564108</v>
      </c>
      <c r="S56" s="71">
        <f>VLOOKUP(E56,PL!A:C,3,FALSE)</f>
        <v>0.05</v>
      </c>
      <c r="T56" s="31">
        <f t="shared" si="20"/>
        <v>8299953.5769999996</v>
      </c>
      <c r="U56" s="31">
        <f t="shared" si="21"/>
        <v>157699117.963</v>
      </c>
      <c r="V56" s="31">
        <f t="shared" si="22"/>
        <v>165094589.41942948</v>
      </c>
      <c r="W56" s="32">
        <f t="shared" si="9"/>
        <v>3.4119999999999999</v>
      </c>
      <c r="X56" s="9" t="s">
        <v>131</v>
      </c>
      <c r="Y56" s="9" t="str">
        <f t="shared" si="10"/>
        <v>UMass Amherst (Grid Electricity)</v>
      </c>
      <c r="Z56" s="5">
        <f t="shared" si="11"/>
        <v>157699.117963</v>
      </c>
      <c r="AA56" s="5">
        <f t="shared" si="12"/>
        <v>165094.58941942948</v>
      </c>
      <c r="AB56" s="9" t="str">
        <f t="shared" si="13"/>
        <v>UMass Amherst</v>
      </c>
      <c r="AC56" s="9" t="str">
        <f t="shared" si="14"/>
        <v>Grid Electricity</v>
      </c>
      <c r="AD56" s="9" t="str">
        <f>VLOOKUP(AC56,PL!A:B,2,FALSE)</f>
        <v>Electricity</v>
      </c>
    </row>
    <row r="57" spans="1:30" s="9" customFormat="1" x14ac:dyDescent="0.25">
      <c r="A57" s="52">
        <v>2002</v>
      </c>
      <c r="B57" s="53" t="s">
        <v>15</v>
      </c>
      <c r="C57" s="53" t="s">
        <v>16</v>
      </c>
      <c r="D57" s="53" t="s">
        <v>21</v>
      </c>
      <c r="E57" s="53" t="s">
        <v>31</v>
      </c>
      <c r="F57" s="53" t="s">
        <v>31</v>
      </c>
      <c r="G57" s="54">
        <v>7188702</v>
      </c>
      <c r="H57" s="54">
        <v>718870200</v>
      </c>
      <c r="I57" s="55">
        <v>7542774.8564999998</v>
      </c>
      <c r="J57" s="53" t="s">
        <v>90</v>
      </c>
      <c r="K57" s="32">
        <v>14775</v>
      </c>
      <c r="L57" s="32" t="s">
        <v>163</v>
      </c>
      <c r="M57" s="31">
        <f>IF(F57="electricity",0,VLOOKUP(L57,PL!H:L,2,FALSE))</f>
        <v>4383</v>
      </c>
      <c r="N57" s="31">
        <f>IF(F57="electricity",VLOOKUP(L57,PL!H:L,3,FALSE),0)</f>
        <v>0</v>
      </c>
      <c r="O57" s="31">
        <f>IF(F57="electricity",0,VLOOKUP(L57,PL!H:L,4,FALSE))</f>
        <v>6184</v>
      </c>
      <c r="P57" s="31">
        <f>IF(F57="electricity",VLOOKUP(L57,PL!H:L,5,FALSE),0)</f>
        <v>0</v>
      </c>
      <c r="Q57" s="30">
        <f t="shared" ref="Q57:Q86" si="25">IFERROR(O57/M57,0)</f>
        <v>1.4109057723020761</v>
      </c>
      <c r="R57" s="30">
        <f t="shared" ref="R57:R86" si="26">IFERROR(P57/N57,0)</f>
        <v>0</v>
      </c>
      <c r="S57" s="32">
        <f>VLOOKUP(E57,PL!A:C,3,FALSE)</f>
        <v>0.5</v>
      </c>
      <c r="T57" s="31">
        <f t="shared" ref="T57:T86" si="27">H57*S57</f>
        <v>359435100</v>
      </c>
      <c r="U57" s="31">
        <f t="shared" ref="U57:U86" si="28">H57*(1-S57)</f>
        <v>359435100</v>
      </c>
      <c r="V57" s="31">
        <f t="shared" ref="V57:V86" si="29">IF(Q57=0,(T57*R57)+U57,(T57*Q57)+U57)</f>
        <v>866564157.35797405</v>
      </c>
      <c r="W57" s="32">
        <f t="shared" si="9"/>
        <v>100</v>
      </c>
      <c r="X57" s="9" t="s">
        <v>131</v>
      </c>
      <c r="Y57" s="9" t="str">
        <f t="shared" si="10"/>
        <v>UMass Amherst (Natural Gas)</v>
      </c>
      <c r="Z57" s="5">
        <f t="shared" si="11"/>
        <v>359435.1</v>
      </c>
      <c r="AA57" s="5">
        <f t="shared" si="12"/>
        <v>866564.15735797409</v>
      </c>
      <c r="AB57" s="9" t="str">
        <f t="shared" si="13"/>
        <v>UMass Amherst</v>
      </c>
      <c r="AC57" s="9" t="str">
        <f t="shared" si="14"/>
        <v>Natural Gas</v>
      </c>
      <c r="AD57" s="69" t="str">
        <f>VLOOKUP(AC57,PL!A:B,2,FALSE)</f>
        <v>NaturalGas</v>
      </c>
    </row>
    <row r="58" spans="1:30" s="9" customFormat="1" x14ac:dyDescent="0.25">
      <c r="A58" s="52">
        <v>2003</v>
      </c>
      <c r="B58" s="53" t="s">
        <v>15</v>
      </c>
      <c r="C58" s="53" t="s">
        <v>16</v>
      </c>
      <c r="D58" s="53" t="s">
        <v>21</v>
      </c>
      <c r="E58" s="53" t="s">
        <v>31</v>
      </c>
      <c r="F58" s="53" t="s">
        <v>31</v>
      </c>
      <c r="G58" s="54">
        <v>4934271</v>
      </c>
      <c r="H58" s="54">
        <v>493427100</v>
      </c>
      <c r="I58" s="55">
        <v>4896276.8865999999</v>
      </c>
      <c r="J58" s="53" t="s">
        <v>90</v>
      </c>
      <c r="K58" s="32">
        <v>14775</v>
      </c>
      <c r="L58" s="32" t="s">
        <v>164</v>
      </c>
      <c r="M58" s="31">
        <f>IF(F58="electricity",0,VLOOKUP(L58,PL!H:L,2,FALSE))</f>
        <v>5939</v>
      </c>
      <c r="N58" s="31">
        <f>IF(F58="electricity",VLOOKUP(L58,PL!H:L,3,FALSE),0)</f>
        <v>0</v>
      </c>
      <c r="O58" s="31">
        <f>IF(F58="electricity",0,VLOOKUP(L58,PL!H:L,4,FALSE))</f>
        <v>6184</v>
      </c>
      <c r="P58" s="31">
        <f>IF(F58="electricity",VLOOKUP(L58,PL!H:L,5,FALSE),0)</f>
        <v>0</v>
      </c>
      <c r="Q58" s="30">
        <f t="shared" si="25"/>
        <v>1.0412527361508672</v>
      </c>
      <c r="R58" s="30">
        <f t="shared" si="26"/>
        <v>0</v>
      </c>
      <c r="S58" s="32">
        <f>VLOOKUP(E58,PL!A:C,3,FALSE)</f>
        <v>0.5</v>
      </c>
      <c r="T58" s="31">
        <f t="shared" si="27"/>
        <v>246713550</v>
      </c>
      <c r="U58" s="31">
        <f t="shared" si="28"/>
        <v>246713550</v>
      </c>
      <c r="V58" s="31">
        <f t="shared" si="29"/>
        <v>503604708.98299378</v>
      </c>
      <c r="W58" s="32">
        <f t="shared" si="9"/>
        <v>100</v>
      </c>
      <c r="X58" s="9" t="s">
        <v>131</v>
      </c>
      <c r="Y58" s="9" t="str">
        <f t="shared" si="10"/>
        <v>UMass Amherst (Natural Gas)</v>
      </c>
      <c r="Z58" s="5">
        <f t="shared" si="11"/>
        <v>246713.55</v>
      </c>
      <c r="AA58" s="5">
        <f t="shared" si="12"/>
        <v>503604.70898299379</v>
      </c>
      <c r="AB58" s="9" t="str">
        <f t="shared" si="13"/>
        <v>UMass Amherst</v>
      </c>
      <c r="AC58" s="9" t="str">
        <f t="shared" si="14"/>
        <v>Natural Gas</v>
      </c>
      <c r="AD58" s="69" t="str">
        <f>VLOOKUP(AC58,PL!A:B,2,FALSE)</f>
        <v>NaturalGas</v>
      </c>
    </row>
    <row r="59" spans="1:30" s="9" customFormat="1" x14ac:dyDescent="0.25">
      <c r="A59" s="52">
        <v>2004</v>
      </c>
      <c r="B59" s="53" t="s">
        <v>15</v>
      </c>
      <c r="C59" s="53" t="s">
        <v>16</v>
      </c>
      <c r="D59" s="53" t="s">
        <v>21</v>
      </c>
      <c r="E59" s="53" t="s">
        <v>31</v>
      </c>
      <c r="F59" s="53" t="s">
        <v>31</v>
      </c>
      <c r="G59" s="58">
        <v>4661950</v>
      </c>
      <c r="H59" s="54">
        <v>466195000</v>
      </c>
      <c r="I59" s="59">
        <v>3189024</v>
      </c>
      <c r="J59" s="53" t="s">
        <v>90</v>
      </c>
      <c r="K59" s="32">
        <v>14775</v>
      </c>
      <c r="L59" s="32" t="s">
        <v>165</v>
      </c>
      <c r="M59" s="31">
        <f>IF(F59="electricity",0,VLOOKUP(L59,PL!H:L,2,FALSE))</f>
        <v>5939</v>
      </c>
      <c r="N59" s="31">
        <f>IF(F59="electricity",VLOOKUP(L59,PL!H:L,3,FALSE),0)</f>
        <v>0</v>
      </c>
      <c r="O59" s="31">
        <f>IF(F59="electricity",0,VLOOKUP(L59,PL!H:L,4,FALSE))</f>
        <v>6184</v>
      </c>
      <c r="P59" s="31">
        <f>IF(F59="electricity",VLOOKUP(L59,PL!H:L,5,FALSE),0)</f>
        <v>0</v>
      </c>
      <c r="Q59" s="30">
        <f t="shared" si="25"/>
        <v>1.0412527361508672</v>
      </c>
      <c r="R59" s="30">
        <f t="shared" si="26"/>
        <v>0</v>
      </c>
      <c r="S59" s="32">
        <f>VLOOKUP(E59,PL!A:C,3,FALSE)</f>
        <v>0.5</v>
      </c>
      <c r="T59" s="31">
        <f t="shared" si="27"/>
        <v>233097500</v>
      </c>
      <c r="U59" s="31">
        <f t="shared" si="28"/>
        <v>233097500</v>
      </c>
      <c r="V59" s="31">
        <f t="shared" si="29"/>
        <v>475810909.66492677</v>
      </c>
      <c r="W59" s="32">
        <f t="shared" si="9"/>
        <v>100</v>
      </c>
      <c r="X59" s="9" t="s">
        <v>131</v>
      </c>
      <c r="Y59" s="9" t="str">
        <f t="shared" si="10"/>
        <v>UMass Amherst (Natural Gas)</v>
      </c>
      <c r="Z59" s="5">
        <f t="shared" si="11"/>
        <v>233097.5</v>
      </c>
      <c r="AA59" s="5">
        <f t="shared" si="12"/>
        <v>475810.90966492676</v>
      </c>
      <c r="AB59" s="9" t="str">
        <f t="shared" si="13"/>
        <v>UMass Amherst</v>
      </c>
      <c r="AC59" s="9" t="str">
        <f t="shared" si="14"/>
        <v>Natural Gas</v>
      </c>
      <c r="AD59" s="69" t="str">
        <f>VLOOKUP(AC59,PL!A:B,2,FALSE)</f>
        <v>NaturalGas</v>
      </c>
    </row>
    <row r="60" spans="1:30" s="9" customFormat="1" x14ac:dyDescent="0.25">
      <c r="A60" s="52">
        <v>2005</v>
      </c>
      <c r="B60" s="53" t="s">
        <v>15</v>
      </c>
      <c r="C60" s="53" t="s">
        <v>16</v>
      </c>
      <c r="D60" s="53" t="s">
        <v>21</v>
      </c>
      <c r="E60" s="53" t="s">
        <v>31</v>
      </c>
      <c r="F60" s="53" t="s">
        <v>31</v>
      </c>
      <c r="G60" s="54">
        <v>4334886</v>
      </c>
      <c r="H60" s="54">
        <v>433488600</v>
      </c>
      <c r="I60" s="55">
        <v>3759896</v>
      </c>
      <c r="J60" s="53" t="s">
        <v>90</v>
      </c>
      <c r="K60" s="32">
        <v>14775</v>
      </c>
      <c r="L60" s="32" t="s">
        <v>166</v>
      </c>
      <c r="M60" s="31">
        <f>IF(F60="electricity",0,VLOOKUP(L60,PL!H:L,2,FALSE))</f>
        <v>6620</v>
      </c>
      <c r="N60" s="31">
        <f>IF(F60="electricity",VLOOKUP(L60,PL!H:L,3,FALSE),0)</f>
        <v>0</v>
      </c>
      <c r="O60" s="31">
        <f>IF(F60="electricity",0,VLOOKUP(L60,PL!H:L,4,FALSE))</f>
        <v>6184</v>
      </c>
      <c r="P60" s="31">
        <f>IF(F60="electricity",VLOOKUP(L60,PL!H:L,5,FALSE),0)</f>
        <v>0</v>
      </c>
      <c r="Q60" s="30">
        <f t="shared" si="25"/>
        <v>0.93413897280966762</v>
      </c>
      <c r="R60" s="30">
        <f t="shared" si="26"/>
        <v>0</v>
      </c>
      <c r="S60" s="32">
        <f>VLOOKUP(E60,PL!A:C,3,FALSE)</f>
        <v>0.5</v>
      </c>
      <c r="T60" s="31">
        <f t="shared" si="27"/>
        <v>216744300</v>
      </c>
      <c r="U60" s="31">
        <f t="shared" si="28"/>
        <v>216744300</v>
      </c>
      <c r="V60" s="31">
        <f t="shared" si="29"/>
        <v>419213597.76435041</v>
      </c>
      <c r="W60" s="32">
        <f t="shared" si="9"/>
        <v>100</v>
      </c>
      <c r="X60" s="9" t="s">
        <v>131</v>
      </c>
      <c r="Y60" s="9" t="str">
        <f t="shared" si="10"/>
        <v>UMass Amherst (Natural Gas)</v>
      </c>
      <c r="Z60" s="5">
        <f t="shared" si="11"/>
        <v>216744.3</v>
      </c>
      <c r="AA60" s="5">
        <f t="shared" si="12"/>
        <v>419213.59776435042</v>
      </c>
      <c r="AB60" s="9" t="str">
        <f t="shared" si="13"/>
        <v>UMass Amherst</v>
      </c>
      <c r="AC60" s="9" t="str">
        <f t="shared" si="14"/>
        <v>Natural Gas</v>
      </c>
      <c r="AD60" s="69" t="str">
        <f>VLOOKUP(AC60,PL!A:B,2,FALSE)</f>
        <v>NaturalGas</v>
      </c>
    </row>
    <row r="61" spans="1:30" s="9" customFormat="1" x14ac:dyDescent="0.25">
      <c r="A61" s="52">
        <v>2006</v>
      </c>
      <c r="B61" s="53" t="s">
        <v>15</v>
      </c>
      <c r="C61" s="53" t="s">
        <v>16</v>
      </c>
      <c r="D61" s="53" t="s">
        <v>21</v>
      </c>
      <c r="E61" s="53" t="s">
        <v>31</v>
      </c>
      <c r="F61" s="53" t="s">
        <v>31</v>
      </c>
      <c r="G61" s="54">
        <v>2904380</v>
      </c>
      <c r="H61" s="54">
        <v>290438000</v>
      </c>
      <c r="I61" s="55">
        <v>3710188</v>
      </c>
      <c r="J61" s="53" t="s">
        <v>90</v>
      </c>
      <c r="K61" s="32">
        <v>14775</v>
      </c>
      <c r="L61" s="32" t="s">
        <v>155</v>
      </c>
      <c r="M61" s="31">
        <f>IF(F61="electricity",0,VLOOKUP(L61,PL!H:L,2,FALSE))</f>
        <v>6087</v>
      </c>
      <c r="N61" s="31">
        <f>IF(F61="electricity",VLOOKUP(L61,PL!H:L,3,FALSE),0)</f>
        <v>0</v>
      </c>
      <c r="O61" s="31">
        <f>IF(F61="electricity",0,VLOOKUP(L61,PL!H:L,4,FALSE))</f>
        <v>6184</v>
      </c>
      <c r="P61" s="31">
        <f>IF(F61="electricity",VLOOKUP(L61,PL!H:L,5,FALSE),0)</f>
        <v>0</v>
      </c>
      <c r="Q61" s="30">
        <f t="shared" si="25"/>
        <v>1.0159356004599966</v>
      </c>
      <c r="R61" s="30">
        <f t="shared" si="26"/>
        <v>0</v>
      </c>
      <c r="S61" s="32">
        <f>VLOOKUP(E61,PL!A:C,3,FALSE)</f>
        <v>0.5</v>
      </c>
      <c r="T61" s="31">
        <f t="shared" si="27"/>
        <v>145219000</v>
      </c>
      <c r="U61" s="31">
        <f t="shared" si="28"/>
        <v>145219000</v>
      </c>
      <c r="V61" s="31">
        <f t="shared" si="29"/>
        <v>292752151.96320021</v>
      </c>
      <c r="W61" s="32">
        <f t="shared" si="9"/>
        <v>100</v>
      </c>
      <c r="X61" s="9" t="s">
        <v>131</v>
      </c>
      <c r="Y61" s="9" t="str">
        <f t="shared" si="10"/>
        <v>UMass Amherst (Natural Gas)</v>
      </c>
      <c r="Z61" s="5">
        <f t="shared" si="11"/>
        <v>145219</v>
      </c>
      <c r="AA61" s="5">
        <f t="shared" si="12"/>
        <v>292752.15196320019</v>
      </c>
      <c r="AB61" s="9" t="str">
        <f t="shared" si="13"/>
        <v>UMass Amherst</v>
      </c>
      <c r="AC61" s="9" t="str">
        <f t="shared" si="14"/>
        <v>Natural Gas</v>
      </c>
      <c r="AD61" s="69" t="str">
        <f>VLOOKUP(AC61,PL!A:B,2,FALSE)</f>
        <v>NaturalGas</v>
      </c>
    </row>
    <row r="62" spans="1:30" s="9" customFormat="1" x14ac:dyDescent="0.25">
      <c r="A62" s="52">
        <v>2007</v>
      </c>
      <c r="B62" s="53" t="s">
        <v>15</v>
      </c>
      <c r="C62" s="53" t="s">
        <v>16</v>
      </c>
      <c r="D62" s="53" t="s">
        <v>21</v>
      </c>
      <c r="E62" s="53" t="s">
        <v>31</v>
      </c>
      <c r="F62" s="53" t="s">
        <v>31</v>
      </c>
      <c r="G62" s="54">
        <v>3543141</v>
      </c>
      <c r="H62" s="54">
        <v>354314100</v>
      </c>
      <c r="I62" s="55">
        <v>5031260.22</v>
      </c>
      <c r="J62" s="53" t="s">
        <v>90</v>
      </c>
      <c r="K62" s="32">
        <v>14775</v>
      </c>
      <c r="L62" s="32" t="s">
        <v>156</v>
      </c>
      <c r="M62" s="31">
        <f>IF(F62="electricity",0,VLOOKUP(L62,PL!H:L,2,FALSE))</f>
        <v>6216</v>
      </c>
      <c r="N62" s="31">
        <f>IF(F62="electricity",VLOOKUP(L62,PL!H:L,3,FALSE),0)</f>
        <v>0</v>
      </c>
      <c r="O62" s="31">
        <f>IF(F62="electricity",0,VLOOKUP(L62,PL!H:L,4,FALSE))</f>
        <v>6184</v>
      </c>
      <c r="P62" s="31">
        <f>IF(F62="electricity",VLOOKUP(L62,PL!H:L,5,FALSE),0)</f>
        <v>0</v>
      </c>
      <c r="Q62" s="30">
        <f t="shared" si="25"/>
        <v>0.99485199485199483</v>
      </c>
      <c r="R62" s="30">
        <f t="shared" si="26"/>
        <v>0</v>
      </c>
      <c r="S62" s="32">
        <f>VLOOKUP(E62,PL!A:C,3,FALSE)</f>
        <v>0.5</v>
      </c>
      <c r="T62" s="31">
        <f t="shared" si="27"/>
        <v>177157050</v>
      </c>
      <c r="U62" s="31">
        <f t="shared" si="28"/>
        <v>177157050</v>
      </c>
      <c r="V62" s="31">
        <f t="shared" si="29"/>
        <v>353402094.5945946</v>
      </c>
      <c r="W62" s="32">
        <f t="shared" si="9"/>
        <v>100</v>
      </c>
      <c r="X62" s="9" t="s">
        <v>131</v>
      </c>
      <c r="Y62" s="9" t="str">
        <f t="shared" si="10"/>
        <v>UMass Amherst (Natural Gas)</v>
      </c>
      <c r="Z62" s="5">
        <f t="shared" si="11"/>
        <v>177157.05</v>
      </c>
      <c r="AA62" s="5">
        <f t="shared" si="12"/>
        <v>353402.09459459462</v>
      </c>
      <c r="AB62" s="9" t="str">
        <f t="shared" si="13"/>
        <v>UMass Amherst</v>
      </c>
      <c r="AC62" s="9" t="str">
        <f t="shared" si="14"/>
        <v>Natural Gas</v>
      </c>
      <c r="AD62" s="69" t="str">
        <f>VLOOKUP(AC62,PL!A:B,2,FALSE)</f>
        <v>NaturalGas</v>
      </c>
    </row>
    <row r="63" spans="1:30" s="9" customFormat="1" x14ac:dyDescent="0.25">
      <c r="A63" s="35">
        <v>2008</v>
      </c>
      <c r="B63" s="36" t="s">
        <v>15</v>
      </c>
      <c r="C63" s="32" t="s">
        <v>16</v>
      </c>
      <c r="D63" s="36" t="s">
        <v>21</v>
      </c>
      <c r="E63" s="32" t="s">
        <v>120</v>
      </c>
      <c r="F63" s="36" t="s">
        <v>30</v>
      </c>
      <c r="G63" s="37">
        <v>2192870.67</v>
      </c>
      <c r="H63" s="37">
        <v>219287067</v>
      </c>
      <c r="I63" s="38">
        <v>3113876.3513999996</v>
      </c>
      <c r="J63" s="36" t="s">
        <v>90</v>
      </c>
      <c r="K63" s="32">
        <v>14775</v>
      </c>
      <c r="L63" s="32" t="s">
        <v>157</v>
      </c>
      <c r="M63" s="31">
        <f>IF(F63="electricity",0,VLOOKUP(L63,PL!H:L,2,FALSE))</f>
        <v>0</v>
      </c>
      <c r="N63" s="31">
        <f>IF(F63="electricity",VLOOKUP(L63,PL!H:L,3,FALSE),0)</f>
        <v>646</v>
      </c>
      <c r="O63" s="31">
        <f>IF(F63="electricity",0,VLOOKUP(L63,PL!H:L,4,FALSE))</f>
        <v>0</v>
      </c>
      <c r="P63" s="31">
        <f>IF(F63="electricity",VLOOKUP(L63,PL!H:L,5,FALSE),0)</f>
        <v>695</v>
      </c>
      <c r="Q63" s="30">
        <f t="shared" si="25"/>
        <v>0</v>
      </c>
      <c r="R63" s="30">
        <f t="shared" si="26"/>
        <v>1.0758513931888545</v>
      </c>
      <c r="S63" s="32">
        <f>VLOOKUP(E63,PL!A:C,3,FALSE)</f>
        <v>0.05</v>
      </c>
      <c r="T63" s="31">
        <f t="shared" si="27"/>
        <v>10964353.350000001</v>
      </c>
      <c r="U63" s="31">
        <f t="shared" si="28"/>
        <v>208322713.64999998</v>
      </c>
      <c r="V63" s="31">
        <f t="shared" si="29"/>
        <v>220118728.47701237</v>
      </c>
      <c r="W63" s="32">
        <f t="shared" si="9"/>
        <v>100</v>
      </c>
      <c r="X63" s="9" t="s">
        <v>131</v>
      </c>
      <c r="Y63" s="9" t="str">
        <f t="shared" si="10"/>
        <v>UMass Amherst (NaturalGas -Electricity)</v>
      </c>
      <c r="Z63" s="5">
        <f t="shared" si="11"/>
        <v>208322.71364999999</v>
      </c>
      <c r="AA63" s="5">
        <f t="shared" si="12"/>
        <v>220118.72847701237</v>
      </c>
      <c r="AB63" s="9" t="str">
        <f t="shared" si="13"/>
        <v>UMass Amherst</v>
      </c>
      <c r="AC63" s="9" t="str">
        <f t="shared" si="14"/>
        <v>NaturalGas -Electricity</v>
      </c>
      <c r="AD63" s="69" t="str">
        <f>VLOOKUP(AC63,PL!A:B,2,FALSE)</f>
        <v>Electricity</v>
      </c>
    </row>
    <row r="64" spans="1:30" s="9" customFormat="1" x14ac:dyDescent="0.25">
      <c r="A64" s="35">
        <v>2009</v>
      </c>
      <c r="B64" s="36" t="s">
        <v>15</v>
      </c>
      <c r="C64" s="32" t="s">
        <v>16</v>
      </c>
      <c r="D64" s="36" t="s">
        <v>21</v>
      </c>
      <c r="E64" s="32" t="s">
        <v>120</v>
      </c>
      <c r="F64" s="36" t="s">
        <v>30</v>
      </c>
      <c r="G64" s="37">
        <v>3623045.9394</v>
      </c>
      <c r="H64" s="37">
        <v>362304593.94</v>
      </c>
      <c r="I64" s="38">
        <v>4709959.7212200006</v>
      </c>
      <c r="J64" s="36" t="s">
        <v>90</v>
      </c>
      <c r="K64" s="32">
        <v>14775</v>
      </c>
      <c r="L64" s="32" t="s">
        <v>158</v>
      </c>
      <c r="M64" s="31">
        <f>IF(F64="electricity",0,VLOOKUP(L64,PL!H:L,2,FALSE))</f>
        <v>0</v>
      </c>
      <c r="N64" s="31">
        <f>IF(F64="electricity",VLOOKUP(L64,PL!H:L,3,FALSE),0)</f>
        <v>546</v>
      </c>
      <c r="O64" s="31">
        <f>IF(F64="electricity",0,VLOOKUP(L64,PL!H:L,4,FALSE))</f>
        <v>0</v>
      </c>
      <c r="P64" s="31">
        <f>IF(F64="electricity",VLOOKUP(L64,PL!H:L,5,FALSE),0)</f>
        <v>695</v>
      </c>
      <c r="Q64" s="30">
        <f t="shared" si="25"/>
        <v>0</v>
      </c>
      <c r="R64" s="30">
        <f t="shared" si="26"/>
        <v>1.2728937728937728</v>
      </c>
      <c r="S64" s="32">
        <f>VLOOKUP(E64,PL!A:C,3,FALSE)</f>
        <v>0.05</v>
      </c>
      <c r="T64" s="31">
        <f t="shared" si="27"/>
        <v>18115229.697000001</v>
      </c>
      <c r="U64" s="31">
        <f t="shared" si="28"/>
        <v>344189364.24299997</v>
      </c>
      <c r="V64" s="31">
        <f t="shared" si="29"/>
        <v>367248127.31885159</v>
      </c>
      <c r="W64" s="32">
        <f t="shared" ref="W64:W115" si="30">H64/G64</f>
        <v>100</v>
      </c>
      <c r="X64" s="9" t="s">
        <v>131</v>
      </c>
      <c r="Y64" s="9" t="str">
        <f t="shared" ref="Y64:Y110" si="31">C64 &amp;" ("&amp;E64&amp;")"</f>
        <v>UMass Amherst (NaturalGas -Electricity)</v>
      </c>
      <c r="Z64" s="5">
        <f t="shared" ref="Z64:Z110" si="32">U64/1000</f>
        <v>344189.36424299999</v>
      </c>
      <c r="AA64" s="5">
        <f t="shared" ref="AA64:AA110" si="33">V64/1000</f>
        <v>367248.12731885159</v>
      </c>
      <c r="AB64" s="9" t="str">
        <f t="shared" ref="AB64:AB110" si="34">C64</f>
        <v>UMass Amherst</v>
      </c>
      <c r="AC64" s="9" t="str">
        <f t="shared" ref="AC64:AC110" si="35">E64</f>
        <v>NaturalGas -Electricity</v>
      </c>
      <c r="AD64" s="69" t="str">
        <f>VLOOKUP(AC64,PL!A:B,2,FALSE)</f>
        <v>Electricity</v>
      </c>
    </row>
    <row r="65" spans="1:30" s="9" customFormat="1" x14ac:dyDescent="0.25">
      <c r="A65" s="35">
        <v>2010</v>
      </c>
      <c r="B65" s="36" t="s">
        <v>15</v>
      </c>
      <c r="C65" s="32" t="s">
        <v>16</v>
      </c>
      <c r="D65" s="36" t="s">
        <v>21</v>
      </c>
      <c r="E65" s="32" t="s">
        <v>120</v>
      </c>
      <c r="F65" s="36" t="s">
        <v>30</v>
      </c>
      <c r="G65" s="37">
        <v>3865011.3427999998</v>
      </c>
      <c r="H65" s="37">
        <v>386501134.27999997</v>
      </c>
      <c r="I65" s="38">
        <v>4954563.6119021894</v>
      </c>
      <c r="J65" s="36" t="s">
        <v>90</v>
      </c>
      <c r="K65" s="32">
        <v>14775</v>
      </c>
      <c r="L65" s="32" t="s">
        <v>159</v>
      </c>
      <c r="M65" s="31">
        <f>IF(F65="electricity",0,VLOOKUP(L65,PL!H:L,2,FALSE))</f>
        <v>0</v>
      </c>
      <c r="N65" s="31">
        <f>IF(F65="electricity",VLOOKUP(L65,PL!H:L,3,FALSE),0)</f>
        <v>622</v>
      </c>
      <c r="O65" s="31">
        <f>IF(F65="electricity",0,VLOOKUP(L65,PL!H:L,4,FALSE))</f>
        <v>0</v>
      </c>
      <c r="P65" s="31">
        <f>IF(F65="electricity",VLOOKUP(L65,PL!H:L,5,FALSE),0)</f>
        <v>695</v>
      </c>
      <c r="Q65" s="30">
        <f t="shared" si="25"/>
        <v>0</v>
      </c>
      <c r="R65" s="30">
        <f t="shared" si="26"/>
        <v>1.117363344051447</v>
      </c>
      <c r="S65" s="32">
        <f>VLOOKUP(E65,PL!A:C,3,FALSE)</f>
        <v>0.05</v>
      </c>
      <c r="T65" s="31">
        <f t="shared" si="27"/>
        <v>19325056.713999998</v>
      </c>
      <c r="U65" s="31">
        <f t="shared" si="28"/>
        <v>367176077.56599998</v>
      </c>
      <c r="V65" s="31">
        <f t="shared" si="29"/>
        <v>388769187.55993891</v>
      </c>
      <c r="W65" s="32">
        <f t="shared" si="30"/>
        <v>100</v>
      </c>
      <c r="X65" s="9" t="s">
        <v>131</v>
      </c>
      <c r="Y65" s="9" t="str">
        <f t="shared" si="31"/>
        <v>UMass Amherst (NaturalGas -Electricity)</v>
      </c>
      <c r="Z65" s="5">
        <f t="shared" si="32"/>
        <v>367176.07756599999</v>
      </c>
      <c r="AA65" s="5">
        <f t="shared" si="33"/>
        <v>388769.18755993893</v>
      </c>
      <c r="AB65" s="9" t="str">
        <f t="shared" si="34"/>
        <v>UMass Amherst</v>
      </c>
      <c r="AC65" s="9" t="str">
        <f t="shared" si="35"/>
        <v>NaturalGas -Electricity</v>
      </c>
      <c r="AD65" s="69" t="str">
        <f>VLOOKUP(AC65,PL!A:B,2,FALSE)</f>
        <v>Electricity</v>
      </c>
    </row>
    <row r="66" spans="1:30" s="9" customFormat="1" x14ac:dyDescent="0.25">
      <c r="A66" s="35">
        <v>2011</v>
      </c>
      <c r="B66" s="36" t="s">
        <v>15</v>
      </c>
      <c r="C66" s="32" t="s">
        <v>16</v>
      </c>
      <c r="D66" s="36" t="s">
        <v>21</v>
      </c>
      <c r="E66" s="32" t="s">
        <v>120</v>
      </c>
      <c r="F66" s="36" t="s">
        <v>30</v>
      </c>
      <c r="G66" s="37">
        <v>4131815.7420999999</v>
      </c>
      <c r="H66" s="37">
        <v>413181574.20999998</v>
      </c>
      <c r="I66" s="38">
        <v>4851386.6200324865</v>
      </c>
      <c r="J66" s="36" t="s">
        <v>90</v>
      </c>
      <c r="K66" s="32">
        <v>14775</v>
      </c>
      <c r="L66" s="32" t="s">
        <v>160</v>
      </c>
      <c r="M66" s="31">
        <f>IF(F66="electricity",0,VLOOKUP(L66,PL!H:L,2,FALSE))</f>
        <v>0</v>
      </c>
      <c r="N66" s="31">
        <f>IF(F66="electricity",VLOOKUP(L66,PL!H:L,3,FALSE),0)</f>
        <v>921</v>
      </c>
      <c r="O66" s="31">
        <f>IF(F66="electricity",0,VLOOKUP(L66,PL!H:L,4,FALSE))</f>
        <v>0</v>
      </c>
      <c r="P66" s="31">
        <f>IF(F66="electricity",VLOOKUP(L66,PL!H:L,5,FALSE),0)</f>
        <v>695</v>
      </c>
      <c r="Q66" s="30">
        <f t="shared" si="25"/>
        <v>0</v>
      </c>
      <c r="R66" s="30">
        <f t="shared" si="26"/>
        <v>0.75461454940282302</v>
      </c>
      <c r="S66" s="32">
        <f>VLOOKUP(E66,PL!A:C,3,FALSE)</f>
        <v>0.05</v>
      </c>
      <c r="T66" s="31">
        <f t="shared" si="27"/>
        <v>20659078.710500002</v>
      </c>
      <c r="U66" s="31">
        <f t="shared" si="28"/>
        <v>392522495.49949998</v>
      </c>
      <c r="V66" s="31">
        <f t="shared" si="29"/>
        <v>408112136.87170136</v>
      </c>
      <c r="W66" s="32">
        <f t="shared" si="30"/>
        <v>100</v>
      </c>
      <c r="X66" s="9" t="s">
        <v>131</v>
      </c>
      <c r="Y66" s="9" t="str">
        <f t="shared" si="31"/>
        <v>UMass Amherst (NaturalGas -Electricity)</v>
      </c>
      <c r="Z66" s="5">
        <f t="shared" si="32"/>
        <v>392522.49549949996</v>
      </c>
      <c r="AA66" s="5">
        <f t="shared" si="33"/>
        <v>408112.13687170134</v>
      </c>
      <c r="AB66" s="9" t="str">
        <f t="shared" si="34"/>
        <v>UMass Amherst</v>
      </c>
      <c r="AC66" s="9" t="str">
        <f t="shared" si="35"/>
        <v>NaturalGas -Electricity</v>
      </c>
      <c r="AD66" s="69" t="str">
        <f>VLOOKUP(AC66,PL!A:B,2,FALSE)</f>
        <v>Electricity</v>
      </c>
    </row>
    <row r="67" spans="1:30" s="9" customFormat="1" x14ac:dyDescent="0.25">
      <c r="A67" s="35">
        <v>2012</v>
      </c>
      <c r="B67" s="36" t="s">
        <v>15</v>
      </c>
      <c r="C67" s="32" t="s">
        <v>16</v>
      </c>
      <c r="D67" s="36" t="s">
        <v>21</v>
      </c>
      <c r="E67" s="32" t="s">
        <v>120</v>
      </c>
      <c r="F67" s="36" t="s">
        <v>30</v>
      </c>
      <c r="G67" s="37">
        <v>4385707.5636999998</v>
      </c>
      <c r="H67" s="37">
        <v>438570756.37</v>
      </c>
      <c r="I67" s="38">
        <v>4236211.1628824845</v>
      </c>
      <c r="J67" s="36" t="s">
        <v>90</v>
      </c>
      <c r="K67" s="32">
        <v>14775</v>
      </c>
      <c r="L67" s="32" t="s">
        <v>161</v>
      </c>
      <c r="M67" s="31">
        <f>IF(F67="electricity",0,VLOOKUP(L67,PL!H:L,2,FALSE))</f>
        <v>0</v>
      </c>
      <c r="N67" s="31">
        <f>IF(F67="electricity",VLOOKUP(L67,PL!H:L,3,FALSE),0)</f>
        <v>853</v>
      </c>
      <c r="O67" s="31">
        <f>IF(F67="electricity",0,VLOOKUP(L67,PL!H:L,4,FALSE))</f>
        <v>0</v>
      </c>
      <c r="P67" s="31">
        <f>IF(F67="electricity",VLOOKUP(L67,PL!H:L,5,FALSE),0)</f>
        <v>695</v>
      </c>
      <c r="Q67" s="30">
        <f t="shared" si="25"/>
        <v>0</v>
      </c>
      <c r="R67" s="30">
        <f t="shared" si="26"/>
        <v>0.81477139507620167</v>
      </c>
      <c r="S67" s="32">
        <f>VLOOKUP(E67,PL!A:C,3,FALSE)</f>
        <v>0.05</v>
      </c>
      <c r="T67" s="31">
        <f t="shared" si="27"/>
        <v>21928537.818500001</v>
      </c>
      <c r="U67" s="31">
        <f t="shared" si="28"/>
        <v>416642218.55149996</v>
      </c>
      <c r="V67" s="31">
        <f t="shared" si="29"/>
        <v>434508963.90186048</v>
      </c>
      <c r="W67" s="32">
        <f t="shared" si="30"/>
        <v>100</v>
      </c>
      <c r="X67" s="9" t="s">
        <v>131</v>
      </c>
      <c r="Y67" s="9" t="str">
        <f t="shared" si="31"/>
        <v>UMass Amherst (NaturalGas -Electricity)</v>
      </c>
      <c r="Z67" s="5">
        <f t="shared" si="32"/>
        <v>416642.21855149994</v>
      </c>
      <c r="AA67" s="5">
        <f t="shared" si="33"/>
        <v>434508.96390186046</v>
      </c>
      <c r="AB67" s="9" t="str">
        <f t="shared" si="34"/>
        <v>UMass Amherst</v>
      </c>
      <c r="AC67" s="9" t="str">
        <f t="shared" si="35"/>
        <v>NaturalGas -Electricity</v>
      </c>
      <c r="AD67" s="69" t="str">
        <f>VLOOKUP(AC67,PL!A:B,2,FALSE)</f>
        <v>Electricity</v>
      </c>
    </row>
    <row r="68" spans="1:30" s="9" customFormat="1" x14ac:dyDescent="0.25">
      <c r="A68" s="35">
        <v>2013</v>
      </c>
      <c r="B68" s="36" t="s">
        <v>15</v>
      </c>
      <c r="C68" s="32" t="s">
        <v>16</v>
      </c>
      <c r="D68" s="36" t="s">
        <v>21</v>
      </c>
      <c r="E68" s="32" t="s">
        <v>120</v>
      </c>
      <c r="F68" s="36" t="s">
        <v>30</v>
      </c>
      <c r="G68" s="37">
        <v>5374822.0505999997</v>
      </c>
      <c r="H68" s="37">
        <v>537482205.05999994</v>
      </c>
      <c r="I68" s="38">
        <v>5675138.1794372583</v>
      </c>
      <c r="J68" s="36" t="s">
        <v>90</v>
      </c>
      <c r="K68" s="32">
        <v>14775</v>
      </c>
      <c r="L68" s="32" t="s">
        <v>162</v>
      </c>
      <c r="M68" s="31">
        <f>IF(F68="electricity",0,VLOOKUP(L68,PL!H:L,2,FALSE))</f>
        <v>0</v>
      </c>
      <c r="N68" s="31">
        <f>IF(F68="electricity",VLOOKUP(L68,PL!H:L,3,FALSE),0)</f>
        <v>942</v>
      </c>
      <c r="O68" s="31">
        <f>IF(F68="electricity",0,VLOOKUP(L68,PL!H:L,4,FALSE))</f>
        <v>0</v>
      </c>
      <c r="P68" s="31">
        <f>IF(F68="electricity",VLOOKUP(L68,PL!H:L,5,FALSE),0)</f>
        <v>695</v>
      </c>
      <c r="Q68" s="30">
        <f t="shared" si="25"/>
        <v>0</v>
      </c>
      <c r="R68" s="30">
        <f t="shared" si="26"/>
        <v>0.73779193205944793</v>
      </c>
      <c r="S68" s="32">
        <f>VLOOKUP(E68,PL!A:C,3,FALSE)</f>
        <v>0.05</v>
      </c>
      <c r="T68" s="31">
        <f t="shared" si="27"/>
        <v>26874110.252999999</v>
      </c>
      <c r="U68" s="31">
        <f t="shared" si="28"/>
        <v>510608094.80699992</v>
      </c>
      <c r="V68" s="31">
        <f t="shared" si="29"/>
        <v>530435596.53293943</v>
      </c>
      <c r="W68" s="32">
        <f t="shared" si="30"/>
        <v>100</v>
      </c>
      <c r="X68" s="9" t="s">
        <v>131</v>
      </c>
      <c r="Y68" s="9" t="str">
        <f t="shared" si="31"/>
        <v>UMass Amherst (NaturalGas -Electricity)</v>
      </c>
      <c r="Z68" s="5">
        <f t="shared" si="32"/>
        <v>510608.0948069999</v>
      </c>
      <c r="AA68" s="5">
        <f t="shared" si="33"/>
        <v>530435.59653293947</v>
      </c>
      <c r="AB68" s="9" t="str">
        <f t="shared" si="34"/>
        <v>UMass Amherst</v>
      </c>
      <c r="AC68" s="9" t="str">
        <f t="shared" si="35"/>
        <v>NaturalGas -Electricity</v>
      </c>
      <c r="AD68" s="69" t="str">
        <f>VLOOKUP(AC68,PL!A:B,2,FALSE)</f>
        <v>Electricity</v>
      </c>
    </row>
    <row r="69" spans="1:30" s="9" customFormat="1" x14ac:dyDescent="0.25">
      <c r="A69" s="75">
        <v>2008</v>
      </c>
      <c r="B69" s="36" t="s">
        <v>15</v>
      </c>
      <c r="C69" s="71" t="s">
        <v>16</v>
      </c>
      <c r="D69" s="36" t="s">
        <v>21</v>
      </c>
      <c r="E69" s="71" t="s">
        <v>119</v>
      </c>
      <c r="F69" s="36" t="s">
        <v>31</v>
      </c>
      <c r="G69" s="37">
        <v>5368752.3300000001</v>
      </c>
      <c r="H69" s="37">
        <v>536875233</v>
      </c>
      <c r="I69" s="38">
        <v>7623628.3086000001</v>
      </c>
      <c r="J69" s="36" t="s">
        <v>90</v>
      </c>
      <c r="K69" s="32">
        <v>14775</v>
      </c>
      <c r="L69" s="32" t="s">
        <v>157</v>
      </c>
      <c r="M69" s="31">
        <f>IF(F69="electricity",0,VLOOKUP(L69,PL!H:L,2,FALSE))</f>
        <v>6357</v>
      </c>
      <c r="N69" s="31">
        <f>IF(F69="electricity",VLOOKUP(L69,PL!H:L,3,FALSE),0)</f>
        <v>0</v>
      </c>
      <c r="O69" s="31">
        <f>IF(F69="electricity",0,VLOOKUP(L69,PL!H:L,4,FALSE))</f>
        <v>6184</v>
      </c>
      <c r="P69" s="31">
        <f>IF(F69="electricity",VLOOKUP(L69,PL!H:L,5,FALSE),0)</f>
        <v>0</v>
      </c>
      <c r="Q69" s="30">
        <f t="shared" si="25"/>
        <v>0.97278590530124276</v>
      </c>
      <c r="R69" s="30">
        <f t="shared" si="26"/>
        <v>0</v>
      </c>
      <c r="S69" s="32">
        <f>VLOOKUP(E69,PL!A:C,3,FALSE)</f>
        <v>0.5</v>
      </c>
      <c r="T69" s="31">
        <f t="shared" si="27"/>
        <v>268437616.5</v>
      </c>
      <c r="U69" s="31">
        <f t="shared" si="28"/>
        <v>268437616.5</v>
      </c>
      <c r="V69" s="31">
        <f t="shared" si="29"/>
        <v>529569946.28386033</v>
      </c>
      <c r="W69" s="32">
        <f t="shared" si="30"/>
        <v>100</v>
      </c>
      <c r="X69" s="9" t="s">
        <v>131</v>
      </c>
      <c r="Y69" s="9" t="str">
        <f t="shared" si="31"/>
        <v>UMass Amherst (NaturalGas -Natural Gas)</v>
      </c>
      <c r="Z69" s="5">
        <f t="shared" si="32"/>
        <v>268437.6165</v>
      </c>
      <c r="AA69" s="5">
        <f t="shared" si="33"/>
        <v>529569.94628386036</v>
      </c>
      <c r="AB69" s="9" t="str">
        <f t="shared" si="34"/>
        <v>UMass Amherst</v>
      </c>
      <c r="AC69" s="9" t="str">
        <f t="shared" si="35"/>
        <v>NaturalGas -Natural Gas</v>
      </c>
      <c r="AD69" s="69" t="str">
        <f>VLOOKUP(AC69,PL!A:B,2,FALSE)</f>
        <v>NaturalGas</v>
      </c>
    </row>
    <row r="70" spans="1:30" s="9" customFormat="1" x14ac:dyDescent="0.25">
      <c r="A70" s="75">
        <v>2009</v>
      </c>
      <c r="B70" s="36" t="s">
        <v>15</v>
      </c>
      <c r="C70" s="71" t="s">
        <v>16</v>
      </c>
      <c r="D70" s="36" t="s">
        <v>21</v>
      </c>
      <c r="E70" s="71" t="s">
        <v>119</v>
      </c>
      <c r="F70" s="36" t="s">
        <v>31</v>
      </c>
      <c r="G70" s="37">
        <v>8897877.0605999995</v>
      </c>
      <c r="H70" s="37">
        <v>889787706.05999994</v>
      </c>
      <c r="I70" s="38">
        <v>11567240.178780001</v>
      </c>
      <c r="J70" s="36" t="s">
        <v>90</v>
      </c>
      <c r="K70" s="32">
        <v>14775</v>
      </c>
      <c r="L70" s="32" t="s">
        <v>158</v>
      </c>
      <c r="M70" s="31">
        <f>IF(F70="electricity",0,VLOOKUP(L70,PL!H:L,2,FALSE))</f>
        <v>6513</v>
      </c>
      <c r="N70" s="31">
        <f>IF(F70="electricity",VLOOKUP(L70,PL!H:L,3,FALSE),0)</f>
        <v>0</v>
      </c>
      <c r="O70" s="31">
        <f>IF(F70="electricity",0,VLOOKUP(L70,PL!H:L,4,FALSE))</f>
        <v>6184</v>
      </c>
      <c r="P70" s="31">
        <f>IF(F70="electricity",VLOOKUP(L70,PL!H:L,5,FALSE),0)</f>
        <v>0</v>
      </c>
      <c r="Q70" s="30">
        <f t="shared" si="25"/>
        <v>0.94948564409642255</v>
      </c>
      <c r="R70" s="30">
        <f t="shared" si="26"/>
        <v>0</v>
      </c>
      <c r="S70" s="32">
        <f>VLOOKUP(E70,PL!A:C,3,FALSE)</f>
        <v>0.5</v>
      </c>
      <c r="T70" s="31">
        <f t="shared" si="27"/>
        <v>444893853.02999997</v>
      </c>
      <c r="U70" s="31">
        <f t="shared" si="28"/>
        <v>444893853.02999997</v>
      </c>
      <c r="V70" s="31">
        <f t="shared" si="29"/>
        <v>867314179.62872863</v>
      </c>
      <c r="W70" s="32">
        <f t="shared" si="30"/>
        <v>100</v>
      </c>
      <c r="X70" s="9" t="s">
        <v>131</v>
      </c>
      <c r="Y70" s="9" t="str">
        <f t="shared" si="31"/>
        <v>UMass Amherst (NaturalGas -Natural Gas)</v>
      </c>
      <c r="Z70" s="5">
        <f t="shared" si="32"/>
        <v>444893.85303</v>
      </c>
      <c r="AA70" s="5">
        <f t="shared" si="33"/>
        <v>867314.17962872866</v>
      </c>
      <c r="AB70" s="9" t="str">
        <f t="shared" si="34"/>
        <v>UMass Amherst</v>
      </c>
      <c r="AC70" s="9" t="str">
        <f t="shared" si="35"/>
        <v>NaturalGas -Natural Gas</v>
      </c>
      <c r="AD70" s="69" t="str">
        <f>VLOOKUP(AC70,PL!A:B,2,FALSE)</f>
        <v>NaturalGas</v>
      </c>
    </row>
    <row r="71" spans="1:30" s="9" customFormat="1" x14ac:dyDescent="0.25">
      <c r="A71" s="75">
        <v>2010</v>
      </c>
      <c r="B71" s="36" t="s">
        <v>15</v>
      </c>
      <c r="C71" s="71" t="s">
        <v>16</v>
      </c>
      <c r="D71" s="36" t="s">
        <v>21</v>
      </c>
      <c r="E71" s="71" t="s">
        <v>119</v>
      </c>
      <c r="F71" s="36" t="s">
        <v>31</v>
      </c>
      <c r="G71" s="37">
        <v>9492096.6571999993</v>
      </c>
      <c r="H71" s="37">
        <v>949209665.71999991</v>
      </c>
      <c r="I71" s="38">
        <v>12167932.388097811</v>
      </c>
      <c r="J71" s="36" t="s">
        <v>90</v>
      </c>
      <c r="K71" s="32">
        <v>14775</v>
      </c>
      <c r="L71" s="32" t="s">
        <v>159</v>
      </c>
      <c r="M71" s="31">
        <f>IF(F71="electricity",0,VLOOKUP(L71,PL!H:L,2,FALSE))</f>
        <v>5785</v>
      </c>
      <c r="N71" s="31">
        <f>IF(F71="electricity",VLOOKUP(L71,PL!H:L,3,FALSE),0)</f>
        <v>0</v>
      </c>
      <c r="O71" s="31">
        <f>IF(F71="electricity",0,VLOOKUP(L71,PL!H:L,4,FALSE))</f>
        <v>6184</v>
      </c>
      <c r="P71" s="31">
        <f>IF(F71="electricity",VLOOKUP(L71,PL!H:L,5,FALSE),0)</f>
        <v>0</v>
      </c>
      <c r="Q71" s="30">
        <f t="shared" si="25"/>
        <v>1.0689714779602419</v>
      </c>
      <c r="R71" s="30">
        <f t="shared" si="26"/>
        <v>0</v>
      </c>
      <c r="S71" s="32">
        <f>VLOOKUP(E71,PL!A:C,3,FALSE)</f>
        <v>0.5</v>
      </c>
      <c r="T71" s="31">
        <f t="shared" si="27"/>
        <v>474604832.85999995</v>
      </c>
      <c r="U71" s="31">
        <f t="shared" si="28"/>
        <v>474604832.85999995</v>
      </c>
      <c r="V71" s="31">
        <f t="shared" si="29"/>
        <v>981943862.48942769</v>
      </c>
      <c r="W71" s="32">
        <f t="shared" si="30"/>
        <v>100</v>
      </c>
      <c r="X71" s="9" t="s">
        <v>131</v>
      </c>
      <c r="Y71" s="9" t="str">
        <f t="shared" si="31"/>
        <v>UMass Amherst (NaturalGas -Natural Gas)</v>
      </c>
      <c r="Z71" s="5">
        <f t="shared" si="32"/>
        <v>474604.83285999997</v>
      </c>
      <c r="AA71" s="5">
        <f t="shared" si="33"/>
        <v>981943.86248942767</v>
      </c>
      <c r="AB71" s="9" t="str">
        <f t="shared" si="34"/>
        <v>UMass Amherst</v>
      </c>
      <c r="AC71" s="9" t="str">
        <f t="shared" si="35"/>
        <v>NaturalGas -Natural Gas</v>
      </c>
      <c r="AD71" s="69" t="str">
        <f>VLOOKUP(AC71,PL!A:B,2,FALSE)</f>
        <v>NaturalGas</v>
      </c>
    </row>
    <row r="72" spans="1:30" s="9" customFormat="1" x14ac:dyDescent="0.25">
      <c r="A72" s="75">
        <v>2011</v>
      </c>
      <c r="B72" s="36" t="s">
        <v>15</v>
      </c>
      <c r="C72" s="71" t="s">
        <v>16</v>
      </c>
      <c r="D72" s="36" t="s">
        <v>21</v>
      </c>
      <c r="E72" s="71" t="s">
        <v>119</v>
      </c>
      <c r="F72" s="36" t="s">
        <v>31</v>
      </c>
      <c r="G72" s="37">
        <v>10153137.2579</v>
      </c>
      <c r="H72" s="37">
        <v>1015313725.79</v>
      </c>
      <c r="I72" s="38">
        <v>11921343.379967513</v>
      </c>
      <c r="J72" s="36" t="s">
        <v>90</v>
      </c>
      <c r="K72" s="32">
        <v>14775</v>
      </c>
      <c r="L72" s="32" t="s">
        <v>160</v>
      </c>
      <c r="M72" s="31">
        <f>IF(F72="electricity",0,VLOOKUP(L72,PL!H:L,2,FALSE))</f>
        <v>6270</v>
      </c>
      <c r="N72" s="31">
        <f>IF(F72="electricity",VLOOKUP(L72,PL!H:L,3,FALSE),0)</f>
        <v>0</v>
      </c>
      <c r="O72" s="31">
        <f>IF(F72="electricity",0,VLOOKUP(L72,PL!H:L,4,FALSE))</f>
        <v>6184</v>
      </c>
      <c r="P72" s="31">
        <f>IF(F72="electricity",VLOOKUP(L72,PL!H:L,5,FALSE),0)</f>
        <v>0</v>
      </c>
      <c r="Q72" s="30">
        <f t="shared" si="25"/>
        <v>0.98628389154704943</v>
      </c>
      <c r="R72" s="30">
        <f t="shared" si="26"/>
        <v>0</v>
      </c>
      <c r="S72" s="32">
        <f>VLOOKUP(E72,PL!A:C,3,FALSE)</f>
        <v>0.5</v>
      </c>
      <c r="T72" s="31">
        <f t="shared" si="27"/>
        <v>507656862.89499998</v>
      </c>
      <c r="U72" s="31">
        <f t="shared" si="28"/>
        <v>507656862.89499998</v>
      </c>
      <c r="V72" s="31">
        <f t="shared" si="29"/>
        <v>1008350649.2016475</v>
      </c>
      <c r="W72" s="32">
        <f t="shared" si="30"/>
        <v>100</v>
      </c>
      <c r="X72" s="9" t="s">
        <v>131</v>
      </c>
      <c r="Y72" s="9" t="str">
        <f t="shared" si="31"/>
        <v>UMass Amherst (NaturalGas -Natural Gas)</v>
      </c>
      <c r="Z72" s="5">
        <f t="shared" si="32"/>
        <v>507656.86289499997</v>
      </c>
      <c r="AA72" s="5">
        <f t="shared" si="33"/>
        <v>1008350.6492016475</v>
      </c>
      <c r="AB72" s="9" t="str">
        <f t="shared" si="34"/>
        <v>UMass Amherst</v>
      </c>
      <c r="AC72" s="9" t="str">
        <f t="shared" si="35"/>
        <v>NaturalGas -Natural Gas</v>
      </c>
      <c r="AD72" s="69" t="str">
        <f>VLOOKUP(AC72,PL!A:B,2,FALSE)</f>
        <v>NaturalGas</v>
      </c>
    </row>
    <row r="73" spans="1:30" s="9" customFormat="1" x14ac:dyDescent="0.25">
      <c r="A73" s="75">
        <v>2012</v>
      </c>
      <c r="B73" s="36" t="s">
        <v>15</v>
      </c>
      <c r="C73" s="71" t="s">
        <v>16</v>
      </c>
      <c r="D73" s="36" t="s">
        <v>21</v>
      </c>
      <c r="E73" s="71" t="s">
        <v>119</v>
      </c>
      <c r="F73" s="36" t="s">
        <v>31</v>
      </c>
      <c r="G73" s="37">
        <v>10766323.4363</v>
      </c>
      <c r="H73" s="37">
        <v>1076632343.6300001</v>
      </c>
      <c r="I73" s="38">
        <v>10399329.837117516</v>
      </c>
      <c r="J73" s="36" t="s">
        <v>90</v>
      </c>
      <c r="K73" s="32">
        <v>14775</v>
      </c>
      <c r="L73" s="32" t="s">
        <v>161</v>
      </c>
      <c r="M73" s="31">
        <f>IF(F73="electricity",0,VLOOKUP(L73,PL!H:L,2,FALSE))</f>
        <v>4908</v>
      </c>
      <c r="N73" s="31">
        <f>IF(F73="electricity",VLOOKUP(L73,PL!H:L,3,FALSE),0)</f>
        <v>0</v>
      </c>
      <c r="O73" s="31">
        <f>IF(F73="electricity",0,VLOOKUP(L73,PL!H:L,4,FALSE))</f>
        <v>6184</v>
      </c>
      <c r="P73" s="31">
        <f>IF(F73="electricity",VLOOKUP(L73,PL!H:L,5,FALSE),0)</f>
        <v>0</v>
      </c>
      <c r="Q73" s="30">
        <f t="shared" si="25"/>
        <v>1.2599837000814995</v>
      </c>
      <c r="R73" s="30">
        <f t="shared" si="26"/>
        <v>0</v>
      </c>
      <c r="S73" s="32">
        <f>VLOOKUP(E73,PL!A:C,3,FALSE)</f>
        <v>0.5</v>
      </c>
      <c r="T73" s="31">
        <f t="shared" si="27"/>
        <v>538316171.81500006</v>
      </c>
      <c r="U73" s="31">
        <f t="shared" si="28"/>
        <v>538316171.81500006</v>
      </c>
      <c r="V73" s="31">
        <f t="shared" si="29"/>
        <v>1216585773.792172</v>
      </c>
      <c r="W73" s="32">
        <f t="shared" si="30"/>
        <v>100.00000000000001</v>
      </c>
      <c r="X73" s="9" t="s">
        <v>131</v>
      </c>
      <c r="Y73" s="9" t="str">
        <f t="shared" si="31"/>
        <v>UMass Amherst (NaturalGas -Natural Gas)</v>
      </c>
      <c r="Z73" s="5">
        <f t="shared" si="32"/>
        <v>538316.17181500001</v>
      </c>
      <c r="AA73" s="5">
        <f t="shared" si="33"/>
        <v>1216585.7737921719</v>
      </c>
      <c r="AB73" s="9" t="str">
        <f t="shared" si="34"/>
        <v>UMass Amherst</v>
      </c>
      <c r="AC73" s="9" t="str">
        <f t="shared" si="35"/>
        <v>NaturalGas -Natural Gas</v>
      </c>
      <c r="AD73" s="69" t="str">
        <f>VLOOKUP(AC73,PL!A:B,2,FALSE)</f>
        <v>NaturalGas</v>
      </c>
    </row>
    <row r="74" spans="1:30" s="9" customFormat="1" x14ac:dyDescent="0.25">
      <c r="A74" s="75">
        <v>2013</v>
      </c>
      <c r="B74" s="36" t="s">
        <v>15</v>
      </c>
      <c r="C74" s="71" t="s">
        <v>16</v>
      </c>
      <c r="D74" s="36" t="s">
        <v>21</v>
      </c>
      <c r="E74" s="71" t="s">
        <v>119</v>
      </c>
      <c r="F74" s="36" t="s">
        <v>31</v>
      </c>
      <c r="G74" s="37">
        <v>13189116.949399998</v>
      </c>
      <c r="H74" s="37">
        <v>1318911694.9399998</v>
      </c>
      <c r="I74" s="38">
        <v>13926053.820562741</v>
      </c>
      <c r="J74" s="36" t="s">
        <v>90</v>
      </c>
      <c r="K74" s="32">
        <v>14775</v>
      </c>
      <c r="L74" s="32" t="s">
        <v>162</v>
      </c>
      <c r="M74" s="31">
        <f>IF(F74="electricity",0,VLOOKUP(L74,PL!H:L,2,FALSE))</f>
        <v>6410</v>
      </c>
      <c r="N74" s="31">
        <f>IF(F74="electricity",VLOOKUP(L74,PL!H:L,3,FALSE),0)</f>
        <v>0</v>
      </c>
      <c r="O74" s="31">
        <f>IF(F74="electricity",0,VLOOKUP(L74,PL!H:L,4,FALSE))</f>
        <v>6184</v>
      </c>
      <c r="P74" s="31">
        <f>IF(F74="electricity",VLOOKUP(L74,PL!H:L,5,FALSE),0)</f>
        <v>0</v>
      </c>
      <c r="Q74" s="30">
        <f t="shared" si="25"/>
        <v>0.96474258970358817</v>
      </c>
      <c r="R74" s="30">
        <f t="shared" si="26"/>
        <v>0</v>
      </c>
      <c r="S74" s="32">
        <f>VLOOKUP(E74,PL!A:C,3,FALSE)</f>
        <v>0.5</v>
      </c>
      <c r="T74" s="31">
        <f t="shared" si="27"/>
        <v>659455847.46999991</v>
      </c>
      <c r="U74" s="31">
        <f t="shared" si="28"/>
        <v>659455847.46999991</v>
      </c>
      <c r="V74" s="31">
        <f t="shared" si="29"/>
        <v>1295660989.5533819</v>
      </c>
      <c r="W74" s="32">
        <f t="shared" si="30"/>
        <v>100</v>
      </c>
      <c r="X74" s="9" t="s">
        <v>131</v>
      </c>
      <c r="Y74" s="9" t="str">
        <f t="shared" si="31"/>
        <v>UMass Amherst (NaturalGas -Natural Gas)</v>
      </c>
      <c r="Z74" s="5">
        <f t="shared" si="32"/>
        <v>659455.84746999992</v>
      </c>
      <c r="AA74" s="5">
        <f t="shared" si="33"/>
        <v>1295660.9895533819</v>
      </c>
      <c r="AB74" s="9" t="str">
        <f t="shared" si="34"/>
        <v>UMass Amherst</v>
      </c>
      <c r="AC74" s="9" t="str">
        <f t="shared" si="35"/>
        <v>NaturalGas -Natural Gas</v>
      </c>
      <c r="AD74" s="69" t="str">
        <f>VLOOKUP(AC74,PL!A:B,2,FALSE)</f>
        <v>NaturalGas</v>
      </c>
    </row>
    <row r="75" spans="1:30" s="9" customFormat="1" x14ac:dyDescent="0.25">
      <c r="A75" s="52">
        <v>2002</v>
      </c>
      <c r="B75" s="53" t="s">
        <v>15</v>
      </c>
      <c r="C75" s="53" t="s">
        <v>16</v>
      </c>
      <c r="D75" s="53" t="s">
        <v>21</v>
      </c>
      <c r="E75" s="53" t="s">
        <v>33</v>
      </c>
      <c r="F75" s="53" t="s">
        <v>34</v>
      </c>
      <c r="G75" s="54">
        <v>393229</v>
      </c>
      <c r="H75" s="54">
        <v>54537117.265649803</v>
      </c>
      <c r="I75" s="55">
        <v>358072.3015</v>
      </c>
      <c r="J75" s="53" t="s">
        <v>90</v>
      </c>
      <c r="K75" s="32">
        <v>14775</v>
      </c>
      <c r="L75" s="32" t="s">
        <v>163</v>
      </c>
      <c r="M75" s="31">
        <f>IF(F75="electricity",0,VLOOKUP(L75,PL!H:L,2,FALSE))</f>
        <v>4383</v>
      </c>
      <c r="N75" s="31">
        <f>IF(F75="electricity",VLOOKUP(L75,PL!H:L,3,FALSE),0)</f>
        <v>0</v>
      </c>
      <c r="O75" s="31">
        <f>IF(F75="electricity",0,VLOOKUP(L75,PL!H:L,4,FALSE))</f>
        <v>6184</v>
      </c>
      <c r="P75" s="31">
        <f>IF(F75="electricity",VLOOKUP(L75,PL!H:L,5,FALSE),0)</f>
        <v>0</v>
      </c>
      <c r="Q75" s="30">
        <f t="shared" si="25"/>
        <v>1.4109057723020761</v>
      </c>
      <c r="R75" s="30">
        <f t="shared" si="26"/>
        <v>0</v>
      </c>
      <c r="S75" s="32">
        <f>VLOOKUP(E75,PL!A:C,3,FALSE)</f>
        <v>0.9</v>
      </c>
      <c r="T75" s="31">
        <f t="shared" si="27"/>
        <v>49083405.539084822</v>
      </c>
      <c r="U75" s="31">
        <f t="shared" si="28"/>
        <v>5453711.7265649792</v>
      </c>
      <c r="V75" s="31">
        <f t="shared" si="29"/>
        <v>74705771.92590344</v>
      </c>
      <c r="W75" s="32">
        <f t="shared" si="30"/>
        <v>138.69047620000001</v>
      </c>
      <c r="X75" s="9" t="s">
        <v>131</v>
      </c>
      <c r="Y75" s="9" t="str">
        <f t="shared" si="31"/>
        <v>UMass Amherst (Oil 2)</v>
      </c>
      <c r="Z75" s="5">
        <f t="shared" si="32"/>
        <v>5453.7117265649795</v>
      </c>
      <c r="AA75" s="5">
        <f t="shared" si="33"/>
        <v>74705.771925903435</v>
      </c>
      <c r="AB75" s="9" t="str">
        <f t="shared" si="34"/>
        <v>UMass Amherst</v>
      </c>
      <c r="AC75" s="9" t="str">
        <f t="shared" si="35"/>
        <v>Oil 2</v>
      </c>
      <c r="AD75" s="9" t="str">
        <f>VLOOKUP(AC75,PL!A:B,2,FALSE)</f>
        <v>Heating Oils</v>
      </c>
    </row>
    <row r="76" spans="1:30" s="9" customFormat="1" x14ac:dyDescent="0.25">
      <c r="A76" s="52">
        <v>2003</v>
      </c>
      <c r="B76" s="53" t="s">
        <v>15</v>
      </c>
      <c r="C76" s="53" t="s">
        <v>16</v>
      </c>
      <c r="D76" s="53" t="s">
        <v>21</v>
      </c>
      <c r="E76" s="53" t="s">
        <v>33</v>
      </c>
      <c r="F76" s="53" t="s">
        <v>34</v>
      </c>
      <c r="G76" s="54">
        <v>509210</v>
      </c>
      <c r="H76" s="54">
        <v>70622577.385802001</v>
      </c>
      <c r="I76" s="55">
        <v>543327.06999999995</v>
      </c>
      <c r="J76" s="53" t="s">
        <v>90</v>
      </c>
      <c r="K76" s="32">
        <v>14775</v>
      </c>
      <c r="L76" s="32" t="s">
        <v>164</v>
      </c>
      <c r="M76" s="31">
        <f>IF(F76="electricity",0,VLOOKUP(L76,PL!H:L,2,FALSE))</f>
        <v>5939</v>
      </c>
      <c r="N76" s="31">
        <f>IF(F76="electricity",VLOOKUP(L76,PL!H:L,3,FALSE),0)</f>
        <v>0</v>
      </c>
      <c r="O76" s="31">
        <f>IF(F76="electricity",0,VLOOKUP(L76,PL!H:L,4,FALSE))</f>
        <v>6184</v>
      </c>
      <c r="P76" s="31">
        <f>IF(F76="electricity",VLOOKUP(L76,PL!H:L,5,FALSE),0)</f>
        <v>0</v>
      </c>
      <c r="Q76" s="30">
        <f t="shared" si="25"/>
        <v>1.0412527361508672</v>
      </c>
      <c r="R76" s="30">
        <f t="shared" si="26"/>
        <v>0</v>
      </c>
      <c r="S76" s="32">
        <f>VLOOKUP(E76,PL!A:C,3,FALSE)</f>
        <v>0.9</v>
      </c>
      <c r="T76" s="31">
        <f t="shared" si="27"/>
        <v>63560319.647221804</v>
      </c>
      <c r="U76" s="31">
        <f t="shared" si="28"/>
        <v>7062257.738580199</v>
      </c>
      <c r="V76" s="31">
        <f t="shared" si="29"/>
        <v>73244614.481873631</v>
      </c>
      <c r="W76" s="32">
        <f t="shared" si="30"/>
        <v>138.69047620000001</v>
      </c>
      <c r="X76" s="9" t="s">
        <v>131</v>
      </c>
      <c r="Y76" s="9" t="str">
        <f t="shared" si="31"/>
        <v>UMass Amherst (Oil 2)</v>
      </c>
      <c r="Z76" s="5">
        <f t="shared" si="32"/>
        <v>7062.2577385801987</v>
      </c>
      <c r="AA76" s="5">
        <f t="shared" si="33"/>
        <v>73244.614481873636</v>
      </c>
      <c r="AB76" s="9" t="str">
        <f t="shared" si="34"/>
        <v>UMass Amherst</v>
      </c>
      <c r="AC76" s="9" t="str">
        <f t="shared" si="35"/>
        <v>Oil 2</v>
      </c>
      <c r="AD76" s="9" t="str">
        <f>VLOOKUP(AC76,PL!A:B,2,FALSE)</f>
        <v>Heating Oils</v>
      </c>
    </row>
    <row r="77" spans="1:30" s="9" customFormat="1" x14ac:dyDescent="0.25">
      <c r="A77" s="52">
        <v>2004</v>
      </c>
      <c r="B77" s="53" t="s">
        <v>15</v>
      </c>
      <c r="C77" s="53" t="s">
        <v>16</v>
      </c>
      <c r="D77" s="53" t="s">
        <v>21</v>
      </c>
      <c r="E77" s="53" t="s">
        <v>33</v>
      </c>
      <c r="F77" s="53" t="s">
        <v>34</v>
      </c>
      <c r="G77" s="54">
        <v>558719</v>
      </c>
      <c r="H77" s="54">
        <v>77489004.171987802</v>
      </c>
      <c r="I77" s="55">
        <v>512242</v>
      </c>
      <c r="J77" s="53" t="s">
        <v>90</v>
      </c>
      <c r="K77" s="32">
        <v>14775</v>
      </c>
      <c r="L77" s="32" t="s">
        <v>165</v>
      </c>
      <c r="M77" s="31">
        <f>IF(F77="electricity",0,VLOOKUP(L77,PL!H:L,2,FALSE))</f>
        <v>5939</v>
      </c>
      <c r="N77" s="31">
        <f>IF(F77="electricity",VLOOKUP(L77,PL!H:L,3,FALSE),0)</f>
        <v>0</v>
      </c>
      <c r="O77" s="31">
        <f>IF(F77="electricity",0,VLOOKUP(L77,PL!H:L,4,FALSE))</f>
        <v>6184</v>
      </c>
      <c r="P77" s="31">
        <f>IF(F77="electricity",VLOOKUP(L77,PL!H:L,5,FALSE),0)</f>
        <v>0</v>
      </c>
      <c r="Q77" s="30">
        <f t="shared" si="25"/>
        <v>1.0412527361508672</v>
      </c>
      <c r="R77" s="30">
        <f t="shared" si="26"/>
        <v>0</v>
      </c>
      <c r="S77" s="32">
        <f>VLOOKUP(E77,PL!A:C,3,FALSE)</f>
        <v>0.9</v>
      </c>
      <c r="T77" s="31">
        <f t="shared" si="27"/>
        <v>69740103.754789025</v>
      </c>
      <c r="U77" s="31">
        <f t="shared" si="28"/>
        <v>7748900.4171987781</v>
      </c>
      <c r="V77" s="31">
        <f t="shared" si="29"/>
        <v>80365974.271318212</v>
      </c>
      <c r="W77" s="32">
        <f t="shared" si="30"/>
        <v>138.69047620000001</v>
      </c>
      <c r="X77" s="9" t="s">
        <v>131</v>
      </c>
      <c r="Y77" s="9" t="str">
        <f t="shared" si="31"/>
        <v>UMass Amherst (Oil 2)</v>
      </c>
      <c r="Z77" s="5">
        <f t="shared" si="32"/>
        <v>7748.9004171987781</v>
      </c>
      <c r="AA77" s="5">
        <f t="shared" si="33"/>
        <v>80365.974271318206</v>
      </c>
      <c r="AB77" s="9" t="str">
        <f t="shared" si="34"/>
        <v>UMass Amherst</v>
      </c>
      <c r="AC77" s="9" t="str">
        <f t="shared" si="35"/>
        <v>Oil 2</v>
      </c>
      <c r="AD77" s="9" t="str">
        <f>VLOOKUP(AC77,PL!A:B,2,FALSE)</f>
        <v>Heating Oils</v>
      </c>
    </row>
    <row r="78" spans="1:30" s="9" customFormat="1" x14ac:dyDescent="0.25">
      <c r="A78" s="52">
        <v>2005</v>
      </c>
      <c r="B78" s="53" t="s">
        <v>15</v>
      </c>
      <c r="C78" s="53" t="s">
        <v>16</v>
      </c>
      <c r="D78" s="53" t="s">
        <v>21</v>
      </c>
      <c r="E78" s="53" t="s">
        <v>33</v>
      </c>
      <c r="F78" s="53" t="s">
        <v>34</v>
      </c>
      <c r="G78" s="54">
        <v>528097</v>
      </c>
      <c r="H78" s="54">
        <v>73242024.40979141</v>
      </c>
      <c r="I78" s="55">
        <v>949967</v>
      </c>
      <c r="J78" s="53" t="s">
        <v>90</v>
      </c>
      <c r="K78" s="32">
        <v>14775</v>
      </c>
      <c r="L78" s="32" t="s">
        <v>166</v>
      </c>
      <c r="M78" s="31">
        <f>IF(F78="electricity",0,VLOOKUP(L78,PL!H:L,2,FALSE))</f>
        <v>6620</v>
      </c>
      <c r="N78" s="31">
        <f>IF(F78="electricity",VLOOKUP(L78,PL!H:L,3,FALSE),0)</f>
        <v>0</v>
      </c>
      <c r="O78" s="31">
        <f>IF(F78="electricity",0,VLOOKUP(L78,PL!H:L,4,FALSE))</f>
        <v>6184</v>
      </c>
      <c r="P78" s="31">
        <f>IF(F78="electricity",VLOOKUP(L78,PL!H:L,5,FALSE),0)</f>
        <v>0</v>
      </c>
      <c r="Q78" s="30">
        <f t="shared" si="25"/>
        <v>0.93413897280966762</v>
      </c>
      <c r="R78" s="30">
        <f t="shared" si="26"/>
        <v>0</v>
      </c>
      <c r="S78" s="32">
        <f>VLOOKUP(E78,PL!A:C,3,FALSE)</f>
        <v>0.9</v>
      </c>
      <c r="T78" s="31">
        <f t="shared" si="27"/>
        <v>65917821.968812272</v>
      </c>
      <c r="U78" s="31">
        <f t="shared" si="28"/>
        <v>7324202.4409791389</v>
      </c>
      <c r="V78" s="31">
        <f t="shared" si="29"/>
        <v>68900608.944775984</v>
      </c>
      <c r="W78" s="32">
        <f t="shared" si="30"/>
        <v>138.69047620000001</v>
      </c>
      <c r="X78" s="9" t="s">
        <v>131</v>
      </c>
      <c r="Y78" s="9" t="str">
        <f t="shared" si="31"/>
        <v>UMass Amherst (Oil 2)</v>
      </c>
      <c r="Z78" s="5">
        <f t="shared" si="32"/>
        <v>7324.2024409791393</v>
      </c>
      <c r="AA78" s="5">
        <f t="shared" si="33"/>
        <v>68900.608944775988</v>
      </c>
      <c r="AB78" s="9" t="str">
        <f t="shared" si="34"/>
        <v>UMass Amherst</v>
      </c>
      <c r="AC78" s="9" t="str">
        <f t="shared" si="35"/>
        <v>Oil 2</v>
      </c>
      <c r="AD78" s="9" t="str">
        <f>VLOOKUP(AC78,PL!A:B,2,FALSE)</f>
        <v>Heating Oils</v>
      </c>
    </row>
    <row r="79" spans="1:30" s="9" customFormat="1" x14ac:dyDescent="0.25">
      <c r="A79" s="52">
        <v>2006</v>
      </c>
      <c r="B79" s="53" t="s">
        <v>15</v>
      </c>
      <c r="C79" s="53" t="s">
        <v>16</v>
      </c>
      <c r="D79" s="53" t="s">
        <v>21</v>
      </c>
      <c r="E79" s="53" t="s">
        <v>33</v>
      </c>
      <c r="F79" s="53" t="s">
        <v>34</v>
      </c>
      <c r="G79" s="54">
        <v>421220</v>
      </c>
      <c r="H79" s="54">
        <v>58419202.384964004</v>
      </c>
      <c r="I79" s="55">
        <v>704588</v>
      </c>
      <c r="J79" s="53" t="s">
        <v>90</v>
      </c>
      <c r="K79" s="32">
        <v>14775</v>
      </c>
      <c r="L79" s="32" t="s">
        <v>155</v>
      </c>
      <c r="M79" s="31">
        <f>IF(F79="electricity",0,VLOOKUP(L79,PL!H:L,2,FALSE))</f>
        <v>6087</v>
      </c>
      <c r="N79" s="31">
        <f>IF(F79="electricity",VLOOKUP(L79,PL!H:L,3,FALSE),0)</f>
        <v>0</v>
      </c>
      <c r="O79" s="31">
        <f>IF(F79="electricity",0,VLOOKUP(L79,PL!H:L,4,FALSE))</f>
        <v>6184</v>
      </c>
      <c r="P79" s="31">
        <f>IF(F79="electricity",VLOOKUP(L79,PL!H:L,5,FALSE),0)</f>
        <v>0</v>
      </c>
      <c r="Q79" s="30">
        <f t="shared" si="25"/>
        <v>1.0159356004599966</v>
      </c>
      <c r="R79" s="30">
        <f t="shared" si="26"/>
        <v>0</v>
      </c>
      <c r="S79" s="32">
        <f>VLOOKUP(E79,PL!A:C,3,FALSE)</f>
        <v>0.9</v>
      </c>
      <c r="T79" s="31">
        <f t="shared" si="27"/>
        <v>52577282.146467604</v>
      </c>
      <c r="U79" s="31">
        <f t="shared" si="28"/>
        <v>5841920.2384963995</v>
      </c>
      <c r="V79" s="31">
        <f t="shared" si="29"/>
        <v>59257052.946522623</v>
      </c>
      <c r="W79" s="32">
        <f t="shared" si="30"/>
        <v>138.69047620000001</v>
      </c>
      <c r="X79" s="9" t="s">
        <v>131</v>
      </c>
      <c r="Y79" s="9" t="str">
        <f t="shared" si="31"/>
        <v>UMass Amherst (Oil 2)</v>
      </c>
      <c r="Z79" s="5">
        <f t="shared" si="32"/>
        <v>5841.9202384963992</v>
      </c>
      <c r="AA79" s="5">
        <f t="shared" si="33"/>
        <v>59257.052946522621</v>
      </c>
      <c r="AB79" s="9" t="str">
        <f t="shared" si="34"/>
        <v>UMass Amherst</v>
      </c>
      <c r="AC79" s="9" t="str">
        <f t="shared" si="35"/>
        <v>Oil 2</v>
      </c>
      <c r="AD79" s="9" t="str">
        <f>VLOOKUP(AC79,PL!A:B,2,FALSE)</f>
        <v>Heating Oils</v>
      </c>
    </row>
    <row r="80" spans="1:30" s="9" customFormat="1" x14ac:dyDescent="0.25">
      <c r="A80" s="52">
        <v>2007</v>
      </c>
      <c r="B80" s="53" t="s">
        <v>15</v>
      </c>
      <c r="C80" s="53" t="s">
        <v>16</v>
      </c>
      <c r="D80" s="53" t="s">
        <v>21</v>
      </c>
      <c r="E80" s="53" t="s">
        <v>33</v>
      </c>
      <c r="F80" s="53" t="s">
        <v>34</v>
      </c>
      <c r="G80" s="54">
        <v>568638</v>
      </c>
      <c r="H80" s="54">
        <v>78864675.005415604</v>
      </c>
      <c r="I80" s="55">
        <v>1353358.44</v>
      </c>
      <c r="J80" s="53" t="s">
        <v>90</v>
      </c>
      <c r="K80" s="32">
        <v>14775</v>
      </c>
      <c r="L80" s="32" t="s">
        <v>156</v>
      </c>
      <c r="M80" s="31">
        <f>IF(F80="electricity",0,VLOOKUP(L80,PL!H:L,2,FALSE))</f>
        <v>6216</v>
      </c>
      <c r="N80" s="31">
        <f>IF(F80="electricity",VLOOKUP(L80,PL!H:L,3,FALSE),0)</f>
        <v>0</v>
      </c>
      <c r="O80" s="31">
        <f>IF(F80="electricity",0,VLOOKUP(L80,PL!H:L,4,FALSE))</f>
        <v>6184</v>
      </c>
      <c r="P80" s="31">
        <f>IF(F80="electricity",VLOOKUP(L80,PL!H:L,5,FALSE),0)</f>
        <v>0</v>
      </c>
      <c r="Q80" s="30">
        <f t="shared" si="25"/>
        <v>0.99485199485199483</v>
      </c>
      <c r="R80" s="30">
        <f t="shared" si="26"/>
        <v>0</v>
      </c>
      <c r="S80" s="32">
        <f>VLOOKUP(E80,PL!A:C,3,FALSE)</f>
        <v>0.9</v>
      </c>
      <c r="T80" s="31">
        <f t="shared" si="27"/>
        <v>70978207.504874051</v>
      </c>
      <c r="U80" s="31">
        <f t="shared" si="28"/>
        <v>7886467.5005415585</v>
      </c>
      <c r="V80" s="31">
        <f t="shared" si="29"/>
        <v>78499278.82778433</v>
      </c>
      <c r="W80" s="32">
        <f t="shared" si="30"/>
        <v>138.69047620000001</v>
      </c>
      <c r="X80" s="9" t="s">
        <v>131</v>
      </c>
      <c r="Y80" s="9" t="str">
        <f t="shared" si="31"/>
        <v>UMass Amherst (Oil 2)</v>
      </c>
      <c r="Z80" s="5">
        <f t="shared" si="32"/>
        <v>7886.4675005415584</v>
      </c>
      <c r="AA80" s="5">
        <f t="shared" si="33"/>
        <v>78499.278827784336</v>
      </c>
      <c r="AB80" s="9" t="str">
        <f t="shared" si="34"/>
        <v>UMass Amherst</v>
      </c>
      <c r="AC80" s="9" t="str">
        <f t="shared" si="35"/>
        <v>Oil 2</v>
      </c>
      <c r="AD80" s="9" t="str">
        <f>VLOOKUP(AC80,PL!A:B,2,FALSE)</f>
        <v>Heating Oils</v>
      </c>
    </row>
    <row r="81" spans="1:30" s="9" customFormat="1" x14ac:dyDescent="0.25">
      <c r="A81" s="52">
        <v>2008</v>
      </c>
      <c r="B81" s="53" t="s">
        <v>15</v>
      </c>
      <c r="C81" s="53" t="s">
        <v>16</v>
      </c>
      <c r="D81" s="53" t="s">
        <v>21</v>
      </c>
      <c r="E81" s="53" t="s">
        <v>33</v>
      </c>
      <c r="F81" s="53" t="s">
        <v>34</v>
      </c>
      <c r="G81" s="54">
        <v>207616</v>
      </c>
      <c r="H81" s="54">
        <v>28794361.906739201</v>
      </c>
      <c r="I81" s="55">
        <v>519040</v>
      </c>
      <c r="J81" s="53" t="s">
        <v>90</v>
      </c>
      <c r="K81" s="32">
        <v>14775</v>
      </c>
      <c r="L81" s="32" t="s">
        <v>157</v>
      </c>
      <c r="M81" s="31">
        <f>IF(F81="electricity",0,VLOOKUP(L81,PL!H:L,2,FALSE))</f>
        <v>6357</v>
      </c>
      <c r="N81" s="31">
        <f>IF(F81="electricity",VLOOKUP(L81,PL!H:L,3,FALSE),0)</f>
        <v>0</v>
      </c>
      <c r="O81" s="31">
        <f>IF(F81="electricity",0,VLOOKUP(L81,PL!H:L,4,FALSE))</f>
        <v>6184</v>
      </c>
      <c r="P81" s="31">
        <f>IF(F81="electricity",VLOOKUP(L81,PL!H:L,5,FALSE),0)</f>
        <v>0</v>
      </c>
      <c r="Q81" s="30">
        <f t="shared" si="25"/>
        <v>0.97278590530124276</v>
      </c>
      <c r="R81" s="30">
        <f t="shared" si="26"/>
        <v>0</v>
      </c>
      <c r="S81" s="32">
        <f>VLOOKUP(E81,PL!A:C,3,FALSE)</f>
        <v>0.9</v>
      </c>
      <c r="T81" s="31">
        <f t="shared" si="27"/>
        <v>25914925.71606528</v>
      </c>
      <c r="U81" s="31">
        <f t="shared" si="28"/>
        <v>2879436.1906739194</v>
      </c>
      <c r="V81" s="31">
        <f t="shared" si="29"/>
        <v>28089110.664190941</v>
      </c>
      <c r="W81" s="32">
        <f t="shared" si="30"/>
        <v>138.69047620000001</v>
      </c>
      <c r="X81" s="9" t="s">
        <v>131</v>
      </c>
      <c r="Y81" s="9" t="str">
        <f t="shared" si="31"/>
        <v>UMass Amherst (Oil 2)</v>
      </c>
      <c r="Z81" s="5">
        <f t="shared" si="32"/>
        <v>2879.4361906739196</v>
      </c>
      <c r="AA81" s="5">
        <f t="shared" si="33"/>
        <v>28089.110664190939</v>
      </c>
      <c r="AB81" s="9" t="str">
        <f t="shared" si="34"/>
        <v>UMass Amherst</v>
      </c>
      <c r="AC81" s="9" t="str">
        <f t="shared" si="35"/>
        <v>Oil 2</v>
      </c>
      <c r="AD81" s="9" t="str">
        <f>VLOOKUP(AC81,PL!A:B,2,FALSE)</f>
        <v>Heating Oils</v>
      </c>
    </row>
    <row r="82" spans="1:30" s="9" customFormat="1" x14ac:dyDescent="0.25">
      <c r="A82" s="52">
        <v>2009</v>
      </c>
      <c r="B82" s="53" t="s">
        <v>15</v>
      </c>
      <c r="C82" s="53" t="s">
        <v>16</v>
      </c>
      <c r="D82" s="53" t="s">
        <v>21</v>
      </c>
      <c r="E82" s="53" t="s">
        <v>33</v>
      </c>
      <c r="F82" s="53" t="s">
        <v>34</v>
      </c>
      <c r="G82" s="54">
        <v>30459.092219233113</v>
      </c>
      <c r="H82" s="54">
        <v>4224386.0045051556</v>
      </c>
      <c r="I82" s="55">
        <v>68246.656000000003</v>
      </c>
      <c r="J82" s="53" t="s">
        <v>90</v>
      </c>
      <c r="K82" s="32">
        <v>14775</v>
      </c>
      <c r="L82" s="32" t="s">
        <v>158</v>
      </c>
      <c r="M82" s="31">
        <f>IF(F82="electricity",0,VLOOKUP(L82,PL!H:L,2,FALSE))</f>
        <v>6513</v>
      </c>
      <c r="N82" s="31">
        <f>IF(F82="electricity",VLOOKUP(L82,PL!H:L,3,FALSE),0)</f>
        <v>0</v>
      </c>
      <c r="O82" s="31">
        <f>IF(F82="electricity",0,VLOOKUP(L82,PL!H:L,4,FALSE))</f>
        <v>6184</v>
      </c>
      <c r="P82" s="31">
        <f>IF(F82="electricity",VLOOKUP(L82,PL!H:L,5,FALSE),0)</f>
        <v>0</v>
      </c>
      <c r="Q82" s="30">
        <f t="shared" si="25"/>
        <v>0.94948564409642255</v>
      </c>
      <c r="R82" s="30">
        <f t="shared" si="26"/>
        <v>0</v>
      </c>
      <c r="S82" s="32">
        <f>VLOOKUP(E82,PL!A:C,3,FALSE)</f>
        <v>0.9</v>
      </c>
      <c r="T82" s="31">
        <f t="shared" si="27"/>
        <v>3801947.4040546403</v>
      </c>
      <c r="U82" s="31">
        <f t="shared" si="28"/>
        <v>422438.60045051546</v>
      </c>
      <c r="V82" s="31">
        <f t="shared" si="29"/>
        <v>4032333.0802100571</v>
      </c>
      <c r="W82" s="32">
        <f t="shared" si="30"/>
        <v>138.69047620000001</v>
      </c>
      <c r="X82" s="9" t="s">
        <v>131</v>
      </c>
      <c r="Y82" s="9" t="str">
        <f t="shared" si="31"/>
        <v>UMass Amherst (Oil 2)</v>
      </c>
      <c r="Z82" s="5">
        <f t="shared" si="32"/>
        <v>422.43860045051548</v>
      </c>
      <c r="AA82" s="5">
        <f t="shared" si="33"/>
        <v>4032.3330802100572</v>
      </c>
      <c r="AB82" s="9" t="str">
        <f t="shared" si="34"/>
        <v>UMass Amherst</v>
      </c>
      <c r="AC82" s="9" t="str">
        <f t="shared" si="35"/>
        <v>Oil 2</v>
      </c>
      <c r="AD82" s="9" t="str">
        <f>VLOOKUP(AC82,PL!A:B,2,FALSE)</f>
        <v>Heating Oils</v>
      </c>
    </row>
    <row r="83" spans="1:30" s="9" customFormat="1" x14ac:dyDescent="0.25">
      <c r="A83" s="52">
        <v>2010</v>
      </c>
      <c r="B83" s="53" t="s">
        <v>15</v>
      </c>
      <c r="C83" s="53" t="s">
        <v>16</v>
      </c>
      <c r="D83" s="53" t="s">
        <v>21</v>
      </c>
      <c r="E83" s="53" t="s">
        <v>33</v>
      </c>
      <c r="F83" s="53" t="s">
        <v>34</v>
      </c>
      <c r="G83" s="54">
        <v>22246</v>
      </c>
      <c r="H83" s="54">
        <v>3085308.3335452001</v>
      </c>
      <c r="I83" s="55">
        <v>52231.289799999999</v>
      </c>
      <c r="J83" s="53" t="s">
        <v>90</v>
      </c>
      <c r="K83" s="32">
        <v>14775</v>
      </c>
      <c r="L83" s="32" t="s">
        <v>159</v>
      </c>
      <c r="M83" s="31">
        <f>IF(F83="electricity",0,VLOOKUP(L83,PL!H:L,2,FALSE))</f>
        <v>5785</v>
      </c>
      <c r="N83" s="31">
        <f>IF(F83="electricity",VLOOKUP(L83,PL!H:L,3,FALSE),0)</f>
        <v>0</v>
      </c>
      <c r="O83" s="31">
        <f>IF(F83="electricity",0,VLOOKUP(L83,PL!H:L,4,FALSE))</f>
        <v>6184</v>
      </c>
      <c r="P83" s="31">
        <f>IF(F83="electricity",VLOOKUP(L83,PL!H:L,5,FALSE),0)</f>
        <v>0</v>
      </c>
      <c r="Q83" s="30">
        <f t="shared" si="25"/>
        <v>1.0689714779602419</v>
      </c>
      <c r="R83" s="30">
        <f t="shared" si="26"/>
        <v>0</v>
      </c>
      <c r="S83" s="32">
        <f>VLOOKUP(E83,PL!A:C,3,FALSE)</f>
        <v>0.9</v>
      </c>
      <c r="T83" s="31">
        <f t="shared" si="27"/>
        <v>2776777.5001906799</v>
      </c>
      <c r="U83" s="31">
        <f t="shared" si="28"/>
        <v>308530.83335451991</v>
      </c>
      <c r="V83" s="31">
        <f t="shared" si="29"/>
        <v>3276826.781700097</v>
      </c>
      <c r="W83" s="32">
        <f t="shared" si="30"/>
        <v>138.69047620000001</v>
      </c>
      <c r="X83" s="9" t="s">
        <v>131</v>
      </c>
      <c r="Y83" s="9" t="str">
        <f t="shared" si="31"/>
        <v>UMass Amherst (Oil 2)</v>
      </c>
      <c r="Z83" s="5">
        <f t="shared" si="32"/>
        <v>308.53083335451993</v>
      </c>
      <c r="AA83" s="5">
        <f t="shared" si="33"/>
        <v>3276.8267817000969</v>
      </c>
      <c r="AB83" s="9" t="str">
        <f t="shared" si="34"/>
        <v>UMass Amherst</v>
      </c>
      <c r="AC83" s="9" t="str">
        <f t="shared" si="35"/>
        <v>Oil 2</v>
      </c>
      <c r="AD83" s="9" t="str">
        <f>VLOOKUP(AC83,PL!A:B,2,FALSE)</f>
        <v>Heating Oils</v>
      </c>
    </row>
    <row r="84" spans="1:30" s="9" customFormat="1" x14ac:dyDescent="0.25">
      <c r="A84" s="52">
        <v>2011</v>
      </c>
      <c r="B84" s="53" t="s">
        <v>15</v>
      </c>
      <c r="C84" s="53" t="s">
        <v>16</v>
      </c>
      <c r="D84" s="53" t="s">
        <v>21</v>
      </c>
      <c r="E84" s="53" t="s">
        <v>33</v>
      </c>
      <c r="F84" s="53" t="s">
        <v>34</v>
      </c>
      <c r="G84" s="54">
        <v>21182</v>
      </c>
      <c r="H84" s="54">
        <v>2937741.6668684003</v>
      </c>
      <c r="I84" s="55">
        <v>46489.138700000003</v>
      </c>
      <c r="J84" s="53" t="s">
        <v>90</v>
      </c>
      <c r="K84" s="32">
        <v>14775</v>
      </c>
      <c r="L84" s="32" t="s">
        <v>160</v>
      </c>
      <c r="M84" s="31">
        <f>IF(F84="electricity",0,VLOOKUP(L84,PL!H:L,2,FALSE))</f>
        <v>6270</v>
      </c>
      <c r="N84" s="31">
        <f>IF(F84="electricity",VLOOKUP(L84,PL!H:L,3,FALSE),0)</f>
        <v>0</v>
      </c>
      <c r="O84" s="31">
        <f>IF(F84="electricity",0,VLOOKUP(L84,PL!H:L,4,FALSE))</f>
        <v>6184</v>
      </c>
      <c r="P84" s="31">
        <f>IF(F84="electricity",VLOOKUP(L84,PL!H:L,5,FALSE),0)</f>
        <v>0</v>
      </c>
      <c r="Q84" s="30">
        <f t="shared" si="25"/>
        <v>0.98628389154704943</v>
      </c>
      <c r="R84" s="30">
        <f t="shared" si="26"/>
        <v>0</v>
      </c>
      <c r="S84" s="32">
        <f>VLOOKUP(E84,PL!A:C,3,FALSE)</f>
        <v>0.9</v>
      </c>
      <c r="T84" s="31">
        <f t="shared" si="27"/>
        <v>2643967.5001815604</v>
      </c>
      <c r="U84" s="31">
        <f t="shared" si="28"/>
        <v>293774.16668683995</v>
      </c>
      <c r="V84" s="31">
        <f t="shared" si="29"/>
        <v>2901476.7218898335</v>
      </c>
      <c r="W84" s="32">
        <f t="shared" si="30"/>
        <v>138.69047620000001</v>
      </c>
      <c r="X84" s="9" t="s">
        <v>131</v>
      </c>
      <c r="Y84" s="9" t="str">
        <f t="shared" si="31"/>
        <v>UMass Amherst (Oil 2)</v>
      </c>
      <c r="Z84" s="5">
        <f t="shared" si="32"/>
        <v>293.77416668683998</v>
      </c>
      <c r="AA84" s="5">
        <f t="shared" si="33"/>
        <v>2901.4767218898332</v>
      </c>
      <c r="AB84" s="9" t="str">
        <f t="shared" si="34"/>
        <v>UMass Amherst</v>
      </c>
      <c r="AC84" s="9" t="str">
        <f t="shared" si="35"/>
        <v>Oil 2</v>
      </c>
      <c r="AD84" s="9" t="str">
        <f>VLOOKUP(AC84,PL!A:B,2,FALSE)</f>
        <v>Heating Oils</v>
      </c>
    </row>
    <row r="85" spans="1:30" s="9" customFormat="1" x14ac:dyDescent="0.25">
      <c r="A85" s="52">
        <v>2012</v>
      </c>
      <c r="B85" s="53" t="s">
        <v>15</v>
      </c>
      <c r="C85" s="53" t="s">
        <v>16</v>
      </c>
      <c r="D85" s="53" t="s">
        <v>21</v>
      </c>
      <c r="E85" s="53" t="s">
        <v>33</v>
      </c>
      <c r="F85" s="53" t="s">
        <v>34</v>
      </c>
      <c r="G85" s="54">
        <v>23365</v>
      </c>
      <c r="H85" s="54">
        <v>3240502.9764130004</v>
      </c>
      <c r="I85" s="55">
        <v>95089.951000000001</v>
      </c>
      <c r="J85" s="53" t="s">
        <v>90</v>
      </c>
      <c r="K85" s="32">
        <v>14775</v>
      </c>
      <c r="L85" s="32" t="s">
        <v>161</v>
      </c>
      <c r="M85" s="31">
        <f>IF(F85="electricity",0,VLOOKUP(L85,PL!H:L,2,FALSE))</f>
        <v>4908</v>
      </c>
      <c r="N85" s="31">
        <f>IF(F85="electricity",VLOOKUP(L85,PL!H:L,3,FALSE),0)</f>
        <v>0</v>
      </c>
      <c r="O85" s="31">
        <f>IF(F85="electricity",0,VLOOKUP(L85,PL!H:L,4,FALSE))</f>
        <v>6184</v>
      </c>
      <c r="P85" s="31">
        <f>IF(F85="electricity",VLOOKUP(L85,PL!H:L,5,FALSE),0)</f>
        <v>0</v>
      </c>
      <c r="Q85" s="30">
        <f t="shared" si="25"/>
        <v>1.2599837000814995</v>
      </c>
      <c r="R85" s="30">
        <f t="shared" si="26"/>
        <v>0</v>
      </c>
      <c r="S85" s="32">
        <f>VLOOKUP(E85,PL!A:C,3,FALSE)</f>
        <v>0.9</v>
      </c>
      <c r="T85" s="31">
        <f t="shared" si="27"/>
        <v>2916452.6787717002</v>
      </c>
      <c r="U85" s="31">
        <f t="shared" si="28"/>
        <v>324050.29764129996</v>
      </c>
      <c r="V85" s="31">
        <f t="shared" si="29"/>
        <v>3998733.1349526681</v>
      </c>
      <c r="W85" s="32">
        <f t="shared" si="30"/>
        <v>138.69047620000001</v>
      </c>
      <c r="X85" s="9" t="s">
        <v>131</v>
      </c>
      <c r="Y85" s="9" t="str">
        <f t="shared" si="31"/>
        <v>UMass Amherst (Oil 2)</v>
      </c>
      <c r="Z85" s="5">
        <f t="shared" si="32"/>
        <v>324.05029764129995</v>
      </c>
      <c r="AA85" s="5">
        <f t="shared" si="33"/>
        <v>3998.733134952668</v>
      </c>
      <c r="AB85" s="9" t="str">
        <f t="shared" si="34"/>
        <v>UMass Amherst</v>
      </c>
      <c r="AC85" s="9" t="str">
        <f t="shared" si="35"/>
        <v>Oil 2</v>
      </c>
      <c r="AD85" s="9" t="str">
        <f>VLOOKUP(AC85,PL!A:B,2,FALSE)</f>
        <v>Heating Oils</v>
      </c>
    </row>
    <row r="86" spans="1:30" s="9" customFormat="1" x14ac:dyDescent="0.25">
      <c r="A86" s="52">
        <v>2013</v>
      </c>
      <c r="B86" s="53" t="s">
        <v>15</v>
      </c>
      <c r="C86" s="53" t="s">
        <v>16</v>
      </c>
      <c r="D86" s="53" t="s">
        <v>21</v>
      </c>
      <c r="E86" s="53" t="s">
        <v>33</v>
      </c>
      <c r="F86" s="53" t="s">
        <v>34</v>
      </c>
      <c r="G86" s="54">
        <v>27322</v>
      </c>
      <c r="H86" s="54">
        <v>3789301.1907364</v>
      </c>
      <c r="I86" s="55">
        <v>82836.388999999996</v>
      </c>
      <c r="J86" s="53" t="s">
        <v>90</v>
      </c>
      <c r="K86" s="32">
        <v>14775</v>
      </c>
      <c r="L86" s="32" t="s">
        <v>162</v>
      </c>
      <c r="M86" s="31">
        <f>IF(F86="electricity",0,VLOOKUP(L86,PL!H:L,2,FALSE))</f>
        <v>6410</v>
      </c>
      <c r="N86" s="31">
        <f>IF(F86="electricity",VLOOKUP(L86,PL!H:L,3,FALSE),0)</f>
        <v>0</v>
      </c>
      <c r="O86" s="31">
        <f>IF(F86="electricity",0,VLOOKUP(L86,PL!H:L,4,FALSE))</f>
        <v>6184</v>
      </c>
      <c r="P86" s="31">
        <f>IF(F86="electricity",VLOOKUP(L86,PL!H:L,5,FALSE),0)</f>
        <v>0</v>
      </c>
      <c r="Q86" s="30">
        <f t="shared" si="25"/>
        <v>0.96474258970358817</v>
      </c>
      <c r="R86" s="30">
        <f t="shared" si="26"/>
        <v>0</v>
      </c>
      <c r="S86" s="32">
        <f>VLOOKUP(E86,PL!A:C,3,FALSE)</f>
        <v>0.9</v>
      </c>
      <c r="T86" s="31">
        <f t="shared" si="27"/>
        <v>3410371.0716627599</v>
      </c>
      <c r="U86" s="31">
        <f t="shared" si="28"/>
        <v>378930.11907363991</v>
      </c>
      <c r="V86" s="31">
        <f t="shared" si="29"/>
        <v>3669060.3385997722</v>
      </c>
      <c r="W86" s="32">
        <f t="shared" si="30"/>
        <v>138.69047620000001</v>
      </c>
      <c r="X86" s="9" t="s">
        <v>131</v>
      </c>
      <c r="Y86" s="9" t="str">
        <f t="shared" si="31"/>
        <v>UMass Amherst (Oil 2)</v>
      </c>
      <c r="Z86" s="5">
        <f t="shared" si="32"/>
        <v>378.9301190736399</v>
      </c>
      <c r="AA86" s="5">
        <f t="shared" si="33"/>
        <v>3669.060338599772</v>
      </c>
      <c r="AB86" s="9" t="str">
        <f t="shared" si="34"/>
        <v>UMass Amherst</v>
      </c>
      <c r="AC86" s="9" t="str">
        <f t="shared" si="35"/>
        <v>Oil 2</v>
      </c>
      <c r="AD86" s="9" t="str">
        <f>VLOOKUP(AC86,PL!A:B,2,FALSE)</f>
        <v>Heating Oils</v>
      </c>
    </row>
    <row r="87" spans="1:30" s="9" customFormat="1" x14ac:dyDescent="0.25">
      <c r="A87" s="75">
        <v>2014</v>
      </c>
      <c r="B87" s="36" t="s">
        <v>15</v>
      </c>
      <c r="C87" s="71" t="s">
        <v>16</v>
      </c>
      <c r="D87" s="36" t="s">
        <v>21</v>
      </c>
      <c r="E87" s="21" t="s">
        <v>33</v>
      </c>
      <c r="F87" s="36" t="s">
        <v>34</v>
      </c>
      <c r="G87" s="54">
        <v>27748.2</v>
      </c>
      <c r="H87" s="54">
        <v>3848411.0716928402</v>
      </c>
      <c r="I87" s="55">
        <v>100549.41</v>
      </c>
      <c r="J87" s="36" t="s">
        <v>90</v>
      </c>
      <c r="K87" s="71">
        <v>14775</v>
      </c>
      <c r="L87" s="71" t="s">
        <v>174</v>
      </c>
      <c r="M87" s="31">
        <f>IF(F87="electricity",0,VLOOKUP(L87,PL!H:L,2,FALSE))</f>
        <v>6666</v>
      </c>
      <c r="N87" s="31">
        <f>IF(F87="electricity",VLOOKUP(L87,PL!H:L,3,FALSE),0)</f>
        <v>0</v>
      </c>
      <c r="O87" s="31">
        <f>IF(F87="electricity",0,VLOOKUP(L87,PL!H:L,4,FALSE))</f>
        <v>6184</v>
      </c>
      <c r="P87" s="31">
        <f>IF(F87="electricity",VLOOKUP(L87,PL!H:L,5,FALSE),0)</f>
        <v>0</v>
      </c>
      <c r="Q87" s="30">
        <f t="shared" ref="Q87:Q89" si="36">IFERROR(O87/M87,0)</f>
        <v>0.92769276927692768</v>
      </c>
      <c r="R87" s="30">
        <f t="shared" ref="R87:R89" si="37">IFERROR(P87/N87,0)</f>
        <v>0</v>
      </c>
      <c r="S87" s="71">
        <f>VLOOKUP(E87,PL!A:C,3,FALSE)</f>
        <v>0.9</v>
      </c>
      <c r="T87" s="31">
        <f t="shared" ref="T87:T89" si="38">H87*S87</f>
        <v>3463569.9645235562</v>
      </c>
      <c r="U87" s="31">
        <f t="shared" ref="U87:U89" si="39">H87*(1-S87)</f>
        <v>384841.10716928396</v>
      </c>
      <c r="V87" s="31">
        <f t="shared" ref="V87:V89" si="40">IF(Q87=0,(T87*R87)+U87,(T87*Q87)+U87)</f>
        <v>3597969.9191425322</v>
      </c>
      <c r="W87" s="71">
        <f t="shared" ref="W87:W89" si="41">H87/G87</f>
        <v>138.69047620000001</v>
      </c>
      <c r="X87" s="69" t="s">
        <v>131</v>
      </c>
      <c r="Y87" s="69" t="str">
        <f t="shared" ref="Y87:Y89" si="42">C87 &amp;" ("&amp;E87&amp;")"</f>
        <v>UMass Amherst (Oil 2)</v>
      </c>
      <c r="Z87" s="74">
        <f t="shared" ref="Z87:Z89" si="43">U87/1000</f>
        <v>384.84110716928399</v>
      </c>
      <c r="AA87" s="74">
        <f t="shared" ref="AA87:AA89" si="44">V87/1000</f>
        <v>3597.969919142532</v>
      </c>
      <c r="AB87" s="69" t="str">
        <f t="shared" ref="AB87:AB89" si="45">C87</f>
        <v>UMass Amherst</v>
      </c>
      <c r="AC87" s="69" t="str">
        <f t="shared" ref="AC87:AC89" si="46">E87</f>
        <v>Oil 2</v>
      </c>
      <c r="AD87" s="69" t="str">
        <f>VLOOKUP(AC87,PL!A:B,2,FALSE)</f>
        <v>Heating Oils</v>
      </c>
    </row>
    <row r="88" spans="1:30" s="9" customFormat="1" x14ac:dyDescent="0.25">
      <c r="A88" s="75">
        <v>2015</v>
      </c>
      <c r="B88" s="36" t="s">
        <v>15</v>
      </c>
      <c r="C88" s="71" t="s">
        <v>16</v>
      </c>
      <c r="D88" s="36" t="s">
        <v>21</v>
      </c>
      <c r="E88" s="21" t="s">
        <v>33</v>
      </c>
      <c r="F88" s="36" t="s">
        <v>34</v>
      </c>
      <c r="G88" s="54">
        <v>25545.83</v>
      </c>
      <c r="H88" s="54">
        <v>3542963.3276242465</v>
      </c>
      <c r="I88" s="55">
        <v>62379.65</v>
      </c>
      <c r="J88" s="36" t="s">
        <v>90</v>
      </c>
      <c r="K88" s="71">
        <v>14775</v>
      </c>
      <c r="L88" s="71" t="s">
        <v>175</v>
      </c>
      <c r="M88" s="31">
        <f>IF(F88="electricity",0,VLOOKUP(L88,PL!H:L,2,FALSE))</f>
        <v>6726</v>
      </c>
      <c r="N88" s="31">
        <f>IF(F88="electricity",VLOOKUP(L88,PL!H:L,3,FALSE),0)</f>
        <v>0</v>
      </c>
      <c r="O88" s="31">
        <f>IF(F88="electricity",0,VLOOKUP(L88,PL!H:L,4,FALSE))</f>
        <v>6184</v>
      </c>
      <c r="P88" s="31">
        <f>IF(F88="electricity",VLOOKUP(L88,PL!H:L,5,FALSE),0)</f>
        <v>0</v>
      </c>
      <c r="Q88" s="30">
        <f t="shared" si="36"/>
        <v>0.91941718703538511</v>
      </c>
      <c r="R88" s="30">
        <f t="shared" si="37"/>
        <v>0</v>
      </c>
      <c r="S88" s="71">
        <f>VLOOKUP(E88,PL!A:C,3,FALSE)</f>
        <v>0.9</v>
      </c>
      <c r="T88" s="31">
        <f t="shared" si="38"/>
        <v>3188666.9948618221</v>
      </c>
      <c r="U88" s="31">
        <f t="shared" si="39"/>
        <v>354296.33276242454</v>
      </c>
      <c r="V88" s="31">
        <f t="shared" si="40"/>
        <v>3286011.5715708556</v>
      </c>
      <c r="W88" s="71">
        <f t="shared" si="41"/>
        <v>138.69047620000001</v>
      </c>
      <c r="X88" s="69" t="s">
        <v>131</v>
      </c>
      <c r="Y88" s="69" t="str">
        <f t="shared" si="42"/>
        <v>UMass Amherst (Oil 2)</v>
      </c>
      <c r="Z88" s="74">
        <f t="shared" si="43"/>
        <v>354.29633276242453</v>
      </c>
      <c r="AA88" s="74">
        <f t="shared" si="44"/>
        <v>3286.0115715708557</v>
      </c>
      <c r="AB88" s="69" t="str">
        <f t="shared" si="45"/>
        <v>UMass Amherst</v>
      </c>
      <c r="AC88" s="69" t="str">
        <f t="shared" si="46"/>
        <v>Oil 2</v>
      </c>
      <c r="AD88" s="69" t="str">
        <f>VLOOKUP(AC88,PL!A:B,2,FALSE)</f>
        <v>Heating Oils</v>
      </c>
    </row>
    <row r="89" spans="1:30" s="9" customFormat="1" x14ac:dyDescent="0.25">
      <c r="A89" s="75">
        <v>2016</v>
      </c>
      <c r="B89" s="36" t="s">
        <v>15</v>
      </c>
      <c r="C89" s="71" t="s">
        <v>16</v>
      </c>
      <c r="D89" s="36" t="s">
        <v>21</v>
      </c>
      <c r="E89" s="21" t="s">
        <v>33</v>
      </c>
      <c r="F89" s="36" t="s">
        <v>34</v>
      </c>
      <c r="G89" s="54">
        <v>23858.9</v>
      </c>
      <c r="H89" s="54">
        <v>3309002.2026081802</v>
      </c>
      <c r="I89" s="55">
        <v>41826.76</v>
      </c>
      <c r="J89" s="36" t="s">
        <v>90</v>
      </c>
      <c r="K89" s="71">
        <v>14775</v>
      </c>
      <c r="L89" s="71" t="s">
        <v>176</v>
      </c>
      <c r="M89" s="31">
        <f>IF(F89="electricity",0,VLOOKUP(L89,PL!H:L,2,FALSE))</f>
        <v>5427</v>
      </c>
      <c r="N89" s="31">
        <f>IF(F89="electricity",VLOOKUP(L89,PL!H:L,3,FALSE),0)</f>
        <v>0</v>
      </c>
      <c r="O89" s="31">
        <f>IF(F89="electricity",0,VLOOKUP(L89,PL!H:L,4,FALSE))</f>
        <v>6184</v>
      </c>
      <c r="P89" s="31">
        <f>IF(F89="electricity",VLOOKUP(L89,PL!H:L,5,FALSE),0)</f>
        <v>0</v>
      </c>
      <c r="Q89" s="30">
        <f t="shared" si="36"/>
        <v>1.1394877464529205</v>
      </c>
      <c r="R89" s="30">
        <f t="shared" si="37"/>
        <v>0</v>
      </c>
      <c r="S89" s="71">
        <f>VLOOKUP(E89,PL!A:C,3,FALSE)</f>
        <v>0.9</v>
      </c>
      <c r="T89" s="31">
        <f t="shared" si="38"/>
        <v>2978101.9823473622</v>
      </c>
      <c r="U89" s="31">
        <f t="shared" si="39"/>
        <v>330900.22026081797</v>
      </c>
      <c r="V89" s="31">
        <f t="shared" si="40"/>
        <v>3724410.9368327889</v>
      </c>
      <c r="W89" s="71">
        <f t="shared" si="41"/>
        <v>138.69047620000001</v>
      </c>
      <c r="X89" s="69" t="s">
        <v>131</v>
      </c>
      <c r="Y89" s="69" t="str">
        <f t="shared" si="42"/>
        <v>UMass Amherst (Oil 2)</v>
      </c>
      <c r="Z89" s="74">
        <f t="shared" si="43"/>
        <v>330.90022026081795</v>
      </c>
      <c r="AA89" s="74">
        <f t="shared" si="44"/>
        <v>3724.410936832789</v>
      </c>
      <c r="AB89" s="69" t="str">
        <f t="shared" si="45"/>
        <v>UMass Amherst</v>
      </c>
      <c r="AC89" s="69" t="str">
        <f t="shared" si="46"/>
        <v>Oil 2</v>
      </c>
      <c r="AD89" s="69" t="str">
        <f>VLOOKUP(AC89,PL!A:B,2,FALSE)</f>
        <v>Heating Oils</v>
      </c>
    </row>
    <row r="90" spans="1:30" s="9" customFormat="1" x14ac:dyDescent="0.25">
      <c r="A90" s="52">
        <v>2011</v>
      </c>
      <c r="B90" s="53" t="s">
        <v>15</v>
      </c>
      <c r="C90" s="53" t="s">
        <v>16</v>
      </c>
      <c r="D90" s="53" t="s">
        <v>21</v>
      </c>
      <c r="E90" s="53" t="s">
        <v>44</v>
      </c>
      <c r="F90" s="53" t="s">
        <v>30</v>
      </c>
      <c r="G90" s="54">
        <v>9906</v>
      </c>
      <c r="H90" s="54">
        <v>33799.271999999997</v>
      </c>
      <c r="I90" s="55">
        <v>0</v>
      </c>
      <c r="J90" s="53" t="s">
        <v>90</v>
      </c>
      <c r="K90" s="32">
        <v>14775</v>
      </c>
      <c r="L90" s="32" t="s">
        <v>160</v>
      </c>
      <c r="M90" s="31">
        <f>IF(F90="electricity",0,VLOOKUP(L90,PL!H:L,2,FALSE))</f>
        <v>0</v>
      </c>
      <c r="N90" s="31">
        <f>IF(F90="electricity",VLOOKUP(L90,PL!H:L,3,FALSE),0)</f>
        <v>921</v>
      </c>
      <c r="O90" s="31">
        <f>IF(F90="electricity",0,VLOOKUP(L90,PL!H:L,4,FALSE))</f>
        <v>0</v>
      </c>
      <c r="P90" s="31">
        <f>IF(F90="electricity",VLOOKUP(L90,PL!H:L,5,FALSE),0)</f>
        <v>695</v>
      </c>
      <c r="Q90" s="30">
        <f t="shared" ref="Q90:R92" si="47">IFERROR(O90/M90,0)</f>
        <v>0</v>
      </c>
      <c r="R90" s="30">
        <f t="shared" si="47"/>
        <v>0.75461454940282302</v>
      </c>
      <c r="S90" s="32">
        <f>VLOOKUP(E90,PL!A:C,3,FALSE)</f>
        <v>0</v>
      </c>
      <c r="T90" s="31">
        <f>H90*S90</f>
        <v>0</v>
      </c>
      <c r="U90" s="31">
        <f>H90*(1-S90)</f>
        <v>33799.271999999997</v>
      </c>
      <c r="V90" s="31">
        <f>IF(Q90=0,(T90*R90)+U90,(T90*Q90)+U90)</f>
        <v>33799.271999999997</v>
      </c>
      <c r="W90" s="32">
        <f t="shared" si="30"/>
        <v>3.4119999999999999</v>
      </c>
      <c r="X90" s="9" t="s">
        <v>131</v>
      </c>
      <c r="Y90" s="9" t="str">
        <f t="shared" si="31"/>
        <v>UMass Amherst (On-Site Solar PV Electricity)</v>
      </c>
      <c r="Z90" s="5">
        <f t="shared" si="32"/>
        <v>33.799271999999995</v>
      </c>
      <c r="AA90" s="5">
        <f t="shared" si="33"/>
        <v>33.799271999999995</v>
      </c>
      <c r="AB90" s="9" t="str">
        <f t="shared" si="34"/>
        <v>UMass Amherst</v>
      </c>
      <c r="AC90" s="9" t="str">
        <f t="shared" si="35"/>
        <v>On-Site Solar PV Electricity</v>
      </c>
      <c r="AD90" s="9" t="str">
        <f>VLOOKUP(AC90,PL!A:B,2,FALSE)</f>
        <v>Renewable Energy</v>
      </c>
    </row>
    <row r="91" spans="1:30" s="9" customFormat="1" x14ac:dyDescent="0.25">
      <c r="A91" s="52">
        <v>2012</v>
      </c>
      <c r="B91" s="53" t="s">
        <v>15</v>
      </c>
      <c r="C91" s="53" t="s">
        <v>16</v>
      </c>
      <c r="D91" s="53" t="s">
        <v>21</v>
      </c>
      <c r="E91" s="53" t="s">
        <v>44</v>
      </c>
      <c r="F91" s="53" t="s">
        <v>30</v>
      </c>
      <c r="G91" s="54">
        <v>23391</v>
      </c>
      <c r="H91" s="54">
        <v>79810.092000000004</v>
      </c>
      <c r="I91" s="55">
        <v>0</v>
      </c>
      <c r="J91" s="53" t="s">
        <v>90</v>
      </c>
      <c r="K91" s="32">
        <v>14775</v>
      </c>
      <c r="L91" s="32" t="s">
        <v>161</v>
      </c>
      <c r="M91" s="31">
        <f>IF(F91="electricity",0,VLOOKUP(L91,PL!H:L,2,FALSE))</f>
        <v>0</v>
      </c>
      <c r="N91" s="31">
        <f>IF(F91="electricity",VLOOKUP(L91,PL!H:L,3,FALSE),0)</f>
        <v>853</v>
      </c>
      <c r="O91" s="31">
        <f>IF(F91="electricity",0,VLOOKUP(L91,PL!H:L,4,FALSE))</f>
        <v>0</v>
      </c>
      <c r="P91" s="31">
        <f>IF(F91="electricity",VLOOKUP(L91,PL!H:L,5,FALSE),0)</f>
        <v>695</v>
      </c>
      <c r="Q91" s="30">
        <f t="shared" si="47"/>
        <v>0</v>
      </c>
      <c r="R91" s="30">
        <f t="shared" si="47"/>
        <v>0.81477139507620167</v>
      </c>
      <c r="S91" s="32">
        <f>VLOOKUP(E91,PL!A:C,3,FALSE)</f>
        <v>0</v>
      </c>
      <c r="T91" s="31">
        <f>H91*S91</f>
        <v>0</v>
      </c>
      <c r="U91" s="31">
        <f>H91*(1-S91)</f>
        <v>79810.092000000004</v>
      </c>
      <c r="V91" s="31">
        <f>IF(Q91=0,(T91*R91)+U91,(T91*Q91)+U91)</f>
        <v>79810.092000000004</v>
      </c>
      <c r="W91" s="32">
        <f t="shared" si="30"/>
        <v>3.4120000000000004</v>
      </c>
      <c r="X91" s="9" t="s">
        <v>131</v>
      </c>
      <c r="Y91" s="9" t="str">
        <f t="shared" si="31"/>
        <v>UMass Amherst (On-Site Solar PV Electricity)</v>
      </c>
      <c r="Z91" s="5">
        <f t="shared" si="32"/>
        <v>79.810091999999997</v>
      </c>
      <c r="AA91" s="5">
        <f t="shared" si="33"/>
        <v>79.810091999999997</v>
      </c>
      <c r="AB91" s="9" t="str">
        <f t="shared" si="34"/>
        <v>UMass Amherst</v>
      </c>
      <c r="AC91" s="9" t="str">
        <f t="shared" si="35"/>
        <v>On-Site Solar PV Electricity</v>
      </c>
      <c r="AD91" s="9" t="str">
        <f>VLOOKUP(AC91,PL!A:B,2,FALSE)</f>
        <v>Renewable Energy</v>
      </c>
    </row>
    <row r="92" spans="1:30" s="9" customFormat="1" x14ac:dyDescent="0.25">
      <c r="A92" s="52">
        <v>2013</v>
      </c>
      <c r="B92" s="53" t="s">
        <v>15</v>
      </c>
      <c r="C92" s="53" t="s">
        <v>16</v>
      </c>
      <c r="D92" s="53" t="s">
        <v>21</v>
      </c>
      <c r="E92" s="53" t="s">
        <v>44</v>
      </c>
      <c r="F92" s="53" t="s">
        <v>30</v>
      </c>
      <c r="G92" s="54">
        <v>15690.56</v>
      </c>
      <c r="H92" s="54">
        <v>53536.190719999999</v>
      </c>
      <c r="I92" s="55">
        <v>0</v>
      </c>
      <c r="J92" s="53" t="s">
        <v>90</v>
      </c>
      <c r="K92" s="32">
        <v>14775</v>
      </c>
      <c r="L92" s="32" t="s">
        <v>162</v>
      </c>
      <c r="M92" s="31">
        <f>IF(F92="electricity",0,VLOOKUP(L92,PL!H:L,2,FALSE))</f>
        <v>0</v>
      </c>
      <c r="N92" s="31">
        <f>IF(F92="electricity",VLOOKUP(L92,PL!H:L,3,FALSE),0)</f>
        <v>942</v>
      </c>
      <c r="O92" s="31">
        <f>IF(F92="electricity",0,VLOOKUP(L92,PL!H:L,4,FALSE))</f>
        <v>0</v>
      </c>
      <c r="P92" s="31">
        <f>IF(F92="electricity",VLOOKUP(L92,PL!H:L,5,FALSE),0)</f>
        <v>695</v>
      </c>
      <c r="Q92" s="30">
        <f t="shared" si="47"/>
        <v>0</v>
      </c>
      <c r="R92" s="30">
        <f t="shared" si="47"/>
        <v>0.73779193205944793</v>
      </c>
      <c r="S92" s="32">
        <f>VLOOKUP(E92,PL!A:C,3,FALSE)</f>
        <v>0</v>
      </c>
      <c r="T92" s="31">
        <f>H92*S92</f>
        <v>0</v>
      </c>
      <c r="U92" s="31">
        <f>H92*(1-S92)</f>
        <v>53536.190719999999</v>
      </c>
      <c r="V92" s="31">
        <f>IF(Q92=0,(T92*R92)+U92,(T92*Q92)+U92)</f>
        <v>53536.190719999999</v>
      </c>
      <c r="W92" s="32">
        <f t="shared" si="30"/>
        <v>3.4119999999999999</v>
      </c>
      <c r="X92" s="9" t="s">
        <v>131</v>
      </c>
      <c r="Y92" s="9" t="str">
        <f t="shared" si="31"/>
        <v>UMass Amherst (On-Site Solar PV Electricity)</v>
      </c>
      <c r="Z92" s="5">
        <f t="shared" si="32"/>
        <v>53.53619072</v>
      </c>
      <c r="AA92" s="5">
        <f t="shared" si="33"/>
        <v>53.53619072</v>
      </c>
      <c r="AB92" s="9" t="str">
        <f t="shared" si="34"/>
        <v>UMass Amherst</v>
      </c>
      <c r="AC92" s="9" t="str">
        <f t="shared" si="35"/>
        <v>On-Site Solar PV Electricity</v>
      </c>
      <c r="AD92" s="9" t="str">
        <f>VLOOKUP(AC92,PL!A:B,2,FALSE)</f>
        <v>Renewable Energy</v>
      </c>
    </row>
    <row r="93" spans="1:30" s="9" customFormat="1" x14ac:dyDescent="0.25">
      <c r="A93" s="75">
        <v>2014</v>
      </c>
      <c r="B93" s="36" t="s">
        <v>15</v>
      </c>
      <c r="C93" s="71" t="s">
        <v>16</v>
      </c>
      <c r="D93" s="36" t="s">
        <v>21</v>
      </c>
      <c r="E93" s="21" t="s">
        <v>44</v>
      </c>
      <c r="F93" s="36" t="s">
        <v>30</v>
      </c>
      <c r="G93" s="54">
        <v>12720</v>
      </c>
      <c r="H93" s="54">
        <v>43400.639999999999</v>
      </c>
      <c r="I93" s="55">
        <v>0</v>
      </c>
      <c r="J93" s="36" t="s">
        <v>90</v>
      </c>
      <c r="K93" s="71">
        <v>14775</v>
      </c>
      <c r="L93" s="32" t="s">
        <v>174</v>
      </c>
      <c r="M93" s="31">
        <f>IF(F93="electricity",0,VLOOKUP(L93,PL!H:L,2,FALSE))</f>
        <v>0</v>
      </c>
      <c r="N93" s="31">
        <f>IF(F93="electricity",VLOOKUP(L93,PL!H:L,3,FALSE),0)</f>
        <v>704</v>
      </c>
      <c r="O93" s="31">
        <f>IF(F93="electricity",0,VLOOKUP(L93,PL!H:L,4,FALSE))</f>
        <v>0</v>
      </c>
      <c r="P93" s="31">
        <f>IF(F93="electricity",VLOOKUP(L93,PL!H:L,5,FALSE),0)</f>
        <v>695</v>
      </c>
      <c r="Q93" s="30">
        <f t="shared" ref="Q93:Q95" si="48">IFERROR(O93/M93,0)</f>
        <v>0</v>
      </c>
      <c r="R93" s="30">
        <f t="shared" ref="R93:R95" si="49">IFERROR(P93/N93,0)</f>
        <v>0.98721590909090906</v>
      </c>
      <c r="S93" s="71">
        <f>VLOOKUP(E93,PL!A:C,3,FALSE)</f>
        <v>0</v>
      </c>
      <c r="T93" s="31">
        <f t="shared" ref="T93:T95" si="50">H93*S93</f>
        <v>0</v>
      </c>
      <c r="U93" s="31">
        <f t="shared" ref="U93:U95" si="51">H93*(1-S93)</f>
        <v>43400.639999999999</v>
      </c>
      <c r="V93" s="31">
        <f t="shared" ref="V93:V95" si="52">IF(Q93=0,(T93*R93)+U93,(T93*Q93)+U93)</f>
        <v>43400.639999999999</v>
      </c>
      <c r="W93" s="71">
        <f t="shared" ref="W93:W95" si="53">H93/G93</f>
        <v>3.4119999999999999</v>
      </c>
      <c r="X93" s="69" t="s">
        <v>131</v>
      </c>
      <c r="Y93" s="69" t="str">
        <f t="shared" ref="Y93:Y95" si="54">C93 &amp;" ("&amp;E93&amp;")"</f>
        <v>UMass Amherst (On-Site Solar PV Electricity)</v>
      </c>
      <c r="Z93" s="74">
        <f t="shared" ref="Z93:Z95" si="55">U93/1000</f>
        <v>43.400640000000003</v>
      </c>
      <c r="AA93" s="74">
        <f t="shared" ref="AA93:AA95" si="56">V93/1000</f>
        <v>43.400640000000003</v>
      </c>
      <c r="AB93" s="69" t="str">
        <f t="shared" ref="AB93:AB95" si="57">C93</f>
        <v>UMass Amherst</v>
      </c>
      <c r="AC93" s="69" t="str">
        <f t="shared" ref="AC93:AC95" si="58">E93</f>
        <v>On-Site Solar PV Electricity</v>
      </c>
      <c r="AD93" s="69" t="str">
        <f>VLOOKUP(AC93,PL!A:B,2,FALSE)</f>
        <v>Renewable Energy</v>
      </c>
    </row>
    <row r="94" spans="1:30" s="9" customFormat="1" x14ac:dyDescent="0.25">
      <c r="A94" s="75">
        <v>2016</v>
      </c>
      <c r="B94" s="36" t="s">
        <v>15</v>
      </c>
      <c r="C94" s="71" t="s">
        <v>16</v>
      </c>
      <c r="D94" s="36" t="s">
        <v>21</v>
      </c>
      <c r="E94" s="21" t="s">
        <v>44</v>
      </c>
      <c r="F94" s="36" t="s">
        <v>30</v>
      </c>
      <c r="G94" s="54">
        <v>160321</v>
      </c>
      <c r="H94" s="54">
        <v>547015.25199999998</v>
      </c>
      <c r="I94" s="55">
        <v>0</v>
      </c>
      <c r="J94" s="36" t="s">
        <v>90</v>
      </c>
      <c r="K94" s="71">
        <v>14775</v>
      </c>
      <c r="L94" s="32" t="s">
        <v>175</v>
      </c>
      <c r="M94" s="31">
        <f>IF(F94="electricity",0,VLOOKUP(L94,PL!H:L,2,FALSE))</f>
        <v>0</v>
      </c>
      <c r="N94" s="31">
        <f>IF(F94="electricity",VLOOKUP(L94,PL!H:L,3,FALSE),0)</f>
        <v>673</v>
      </c>
      <c r="O94" s="31">
        <f>IF(F94="electricity",0,VLOOKUP(L94,PL!H:L,4,FALSE))</f>
        <v>0</v>
      </c>
      <c r="P94" s="31">
        <f>IF(F94="electricity",VLOOKUP(L94,PL!H:L,5,FALSE),0)</f>
        <v>695</v>
      </c>
      <c r="Q94" s="30">
        <f t="shared" si="48"/>
        <v>0</v>
      </c>
      <c r="R94" s="30">
        <f t="shared" si="49"/>
        <v>1.0326894502228827</v>
      </c>
      <c r="S94" s="71">
        <f>VLOOKUP(E94,PL!A:C,3,FALSE)</f>
        <v>0</v>
      </c>
      <c r="T94" s="31">
        <f t="shared" si="50"/>
        <v>0</v>
      </c>
      <c r="U94" s="31">
        <f t="shared" si="51"/>
        <v>547015.25199999998</v>
      </c>
      <c r="V94" s="31">
        <f t="shared" si="52"/>
        <v>547015.25199999998</v>
      </c>
      <c r="W94" s="71">
        <f t="shared" si="53"/>
        <v>3.4119999999999999</v>
      </c>
      <c r="X94" s="69" t="s">
        <v>131</v>
      </c>
      <c r="Y94" s="69" t="str">
        <f t="shared" si="54"/>
        <v>UMass Amherst (On-Site Solar PV Electricity)</v>
      </c>
      <c r="Z94" s="74">
        <f t="shared" si="55"/>
        <v>547.01525200000003</v>
      </c>
      <c r="AA94" s="74">
        <f t="shared" si="56"/>
        <v>547.01525200000003</v>
      </c>
      <c r="AB94" s="69" t="str">
        <f t="shared" si="57"/>
        <v>UMass Amherst</v>
      </c>
      <c r="AC94" s="69" t="str">
        <f t="shared" si="58"/>
        <v>On-Site Solar PV Electricity</v>
      </c>
      <c r="AD94" s="69" t="str">
        <f>VLOOKUP(AC94,PL!A:B,2,FALSE)</f>
        <v>Renewable Energy</v>
      </c>
    </row>
    <row r="95" spans="1:30" s="9" customFormat="1" x14ac:dyDescent="0.25">
      <c r="A95" s="75">
        <v>2015</v>
      </c>
      <c r="B95" s="36" t="s">
        <v>15</v>
      </c>
      <c r="C95" s="71" t="s">
        <v>16</v>
      </c>
      <c r="D95" s="36" t="s">
        <v>21</v>
      </c>
      <c r="E95" s="21" t="s">
        <v>44</v>
      </c>
      <c r="F95" s="36" t="s">
        <v>30</v>
      </c>
      <c r="G95" s="54">
        <v>12455.1</v>
      </c>
      <c r="H95" s="54">
        <v>42496.801200000002</v>
      </c>
      <c r="I95" s="55">
        <v>0</v>
      </c>
      <c r="J95" s="36" t="s">
        <v>90</v>
      </c>
      <c r="K95" s="71">
        <v>14775</v>
      </c>
      <c r="L95" s="32" t="s">
        <v>176</v>
      </c>
      <c r="M95" s="31">
        <f>IF(F95="electricity",0,VLOOKUP(L95,PL!H:L,2,FALSE))</f>
        <v>0</v>
      </c>
      <c r="N95" s="31">
        <f>IF(F95="electricity",VLOOKUP(L95,PL!H:L,3,FALSE),0)</f>
        <v>780</v>
      </c>
      <c r="O95" s="31">
        <f>IF(F95="electricity",0,VLOOKUP(L95,PL!H:L,4,FALSE))</f>
        <v>0</v>
      </c>
      <c r="P95" s="31">
        <f>IF(F95="electricity",VLOOKUP(L95,PL!H:L,5,FALSE),0)</f>
        <v>695</v>
      </c>
      <c r="Q95" s="30">
        <f t="shared" si="48"/>
        <v>0</v>
      </c>
      <c r="R95" s="30">
        <f t="shared" si="49"/>
        <v>0.89102564102564108</v>
      </c>
      <c r="S95" s="71">
        <f>VLOOKUP(E95,PL!A:C,3,FALSE)</f>
        <v>0</v>
      </c>
      <c r="T95" s="31">
        <f t="shared" si="50"/>
        <v>0</v>
      </c>
      <c r="U95" s="31">
        <f t="shared" si="51"/>
        <v>42496.801200000002</v>
      </c>
      <c r="V95" s="31">
        <f t="shared" si="52"/>
        <v>42496.801200000002</v>
      </c>
      <c r="W95" s="71">
        <f t="shared" si="53"/>
        <v>3.4119999999999999</v>
      </c>
      <c r="X95" s="69" t="s">
        <v>131</v>
      </c>
      <c r="Y95" s="69" t="str">
        <f t="shared" si="54"/>
        <v>UMass Amherst (On-Site Solar PV Electricity)</v>
      </c>
      <c r="Z95" s="74">
        <f t="shared" si="55"/>
        <v>42.4968012</v>
      </c>
      <c r="AA95" s="74">
        <f t="shared" si="56"/>
        <v>42.4968012</v>
      </c>
      <c r="AB95" s="69" t="str">
        <f t="shared" si="57"/>
        <v>UMass Amherst</v>
      </c>
      <c r="AC95" s="69" t="str">
        <f t="shared" si="58"/>
        <v>On-Site Solar PV Electricity</v>
      </c>
      <c r="AD95" s="69" t="str">
        <f>VLOOKUP(AC95,PL!A:B,2,FALSE)</f>
        <v>Renewable Energy</v>
      </c>
    </row>
    <row r="96" spans="1:30" s="9" customFormat="1" x14ac:dyDescent="0.25">
      <c r="A96" s="52">
        <v>2004</v>
      </c>
      <c r="B96" s="53" t="s">
        <v>15</v>
      </c>
      <c r="C96" s="53" t="s">
        <v>16</v>
      </c>
      <c r="D96" s="53" t="s">
        <v>21</v>
      </c>
      <c r="E96" s="53" t="s">
        <v>37</v>
      </c>
      <c r="F96" s="53" t="s">
        <v>37</v>
      </c>
      <c r="G96" s="54">
        <v>200</v>
      </c>
      <c r="H96" s="54">
        <v>3300000</v>
      </c>
      <c r="I96" s="55">
        <v>10000</v>
      </c>
      <c r="J96" s="53" t="s">
        <v>90</v>
      </c>
      <c r="K96" s="32">
        <v>14775</v>
      </c>
      <c r="L96" s="32" t="s">
        <v>165</v>
      </c>
      <c r="M96" s="31">
        <f>IF(F96="electricity",0,VLOOKUP(L96,PL!H:L,2,FALSE))</f>
        <v>5939</v>
      </c>
      <c r="N96" s="31">
        <f>IF(F96="electricity",VLOOKUP(L96,PL!H:L,3,FALSE),0)</f>
        <v>0</v>
      </c>
      <c r="O96" s="31">
        <f>IF(F96="electricity",0,VLOOKUP(L96,PL!H:L,4,FALSE))</f>
        <v>6184</v>
      </c>
      <c r="P96" s="31">
        <f>IF(F96="electricity",VLOOKUP(L96,PL!H:L,5,FALSE),0)</f>
        <v>0</v>
      </c>
      <c r="Q96" s="30">
        <f t="shared" ref="Q96:Q112" si="59">IFERROR(O96/M96,0)</f>
        <v>1.0412527361508672</v>
      </c>
      <c r="R96" s="30">
        <f t="shared" ref="R96:R112" si="60">IFERROR(P96/N96,0)</f>
        <v>0</v>
      </c>
      <c r="S96" s="32">
        <f>VLOOKUP(E96,PL!A:C,3,FALSE)</f>
        <v>0</v>
      </c>
      <c r="T96" s="31">
        <f t="shared" ref="T96:T112" si="61">H96*S96</f>
        <v>0</v>
      </c>
      <c r="U96" s="31">
        <f t="shared" ref="U96:U112" si="62">H96*(1-S96)</f>
        <v>3300000</v>
      </c>
      <c r="V96" s="31">
        <f t="shared" ref="V96:V112" si="63">IF(Q96=0,(T96*R96)+U96,(T96*Q96)+U96)</f>
        <v>3300000</v>
      </c>
      <c r="W96" s="32">
        <f t="shared" si="30"/>
        <v>16500</v>
      </c>
      <c r="X96" s="9" t="s">
        <v>131</v>
      </c>
      <c r="Y96" s="9" t="str">
        <f t="shared" si="31"/>
        <v>UMass Amherst (Paper Cubes)</v>
      </c>
      <c r="Z96" s="5">
        <f t="shared" si="32"/>
        <v>3300</v>
      </c>
      <c r="AA96" s="5">
        <f t="shared" si="33"/>
        <v>3300</v>
      </c>
      <c r="AB96" s="9" t="str">
        <f t="shared" si="34"/>
        <v>UMass Amherst</v>
      </c>
      <c r="AC96" s="9" t="str">
        <f t="shared" si="35"/>
        <v>Paper Cubes</v>
      </c>
      <c r="AD96" s="9" t="str">
        <f>VLOOKUP(AC96,PL!A:B,2,FALSE)</f>
        <v>Other</v>
      </c>
    </row>
    <row r="97" spans="1:30" s="9" customFormat="1" x14ac:dyDescent="0.25">
      <c r="A97" s="52">
        <v>2005</v>
      </c>
      <c r="B97" s="53" t="s">
        <v>15</v>
      </c>
      <c r="C97" s="53" t="s">
        <v>16</v>
      </c>
      <c r="D97" s="53" t="s">
        <v>21</v>
      </c>
      <c r="E97" s="53" t="s">
        <v>37</v>
      </c>
      <c r="F97" s="53" t="s">
        <v>37</v>
      </c>
      <c r="G97" s="54">
        <v>2597</v>
      </c>
      <c r="H97" s="54">
        <v>42850500</v>
      </c>
      <c r="I97" s="55">
        <v>85915</v>
      </c>
      <c r="J97" s="53" t="s">
        <v>90</v>
      </c>
      <c r="K97" s="32">
        <v>14775</v>
      </c>
      <c r="L97" s="32" t="s">
        <v>166</v>
      </c>
      <c r="M97" s="31">
        <f>IF(F97="electricity",0,VLOOKUP(L97,PL!H:L,2,FALSE))</f>
        <v>6620</v>
      </c>
      <c r="N97" s="31">
        <f>IF(F97="electricity",VLOOKUP(L97,PL!H:L,3,FALSE),0)</f>
        <v>0</v>
      </c>
      <c r="O97" s="31">
        <f>IF(F97="electricity",0,VLOOKUP(L97,PL!H:L,4,FALSE))</f>
        <v>6184</v>
      </c>
      <c r="P97" s="31">
        <f>IF(F97="electricity",VLOOKUP(L97,PL!H:L,5,FALSE),0)</f>
        <v>0</v>
      </c>
      <c r="Q97" s="30">
        <f t="shared" si="59"/>
        <v>0.93413897280966762</v>
      </c>
      <c r="R97" s="30">
        <f t="shared" si="60"/>
        <v>0</v>
      </c>
      <c r="S97" s="32">
        <f>VLOOKUP(E97,PL!A:C,3,FALSE)</f>
        <v>0</v>
      </c>
      <c r="T97" s="31">
        <f t="shared" si="61"/>
        <v>0</v>
      </c>
      <c r="U97" s="31">
        <f t="shared" si="62"/>
        <v>42850500</v>
      </c>
      <c r="V97" s="31">
        <f t="shared" si="63"/>
        <v>42850500</v>
      </c>
      <c r="W97" s="32">
        <f t="shared" si="30"/>
        <v>16500</v>
      </c>
      <c r="X97" s="9" t="s">
        <v>131</v>
      </c>
      <c r="Y97" s="9" t="str">
        <f t="shared" si="31"/>
        <v>UMass Amherst (Paper Cubes)</v>
      </c>
      <c r="Z97" s="5">
        <f t="shared" si="32"/>
        <v>42850.5</v>
      </c>
      <c r="AA97" s="5">
        <f t="shared" si="33"/>
        <v>42850.5</v>
      </c>
      <c r="AB97" s="9" t="str">
        <f t="shared" si="34"/>
        <v>UMass Amherst</v>
      </c>
      <c r="AC97" s="9" t="str">
        <f t="shared" si="35"/>
        <v>Paper Cubes</v>
      </c>
      <c r="AD97" s="9" t="str">
        <f>VLOOKUP(AC97,PL!A:B,2,FALSE)</f>
        <v>Other</v>
      </c>
    </row>
    <row r="98" spans="1:30" s="9" customFormat="1" x14ac:dyDescent="0.25">
      <c r="A98" s="52">
        <v>2006</v>
      </c>
      <c r="B98" s="53" t="s">
        <v>15</v>
      </c>
      <c r="C98" s="53" t="s">
        <v>16</v>
      </c>
      <c r="D98" s="53" t="s">
        <v>21</v>
      </c>
      <c r="E98" s="53" t="s">
        <v>37</v>
      </c>
      <c r="F98" s="53" t="s">
        <v>37</v>
      </c>
      <c r="G98" s="54">
        <v>5502</v>
      </c>
      <c r="H98" s="54">
        <v>90783000</v>
      </c>
      <c r="I98" s="55">
        <v>273339</v>
      </c>
      <c r="J98" s="53" t="s">
        <v>90</v>
      </c>
      <c r="K98" s="32">
        <v>14775</v>
      </c>
      <c r="L98" s="32" t="s">
        <v>155</v>
      </c>
      <c r="M98" s="31">
        <f>IF(F98="electricity",0,VLOOKUP(L98,PL!H:L,2,FALSE))</f>
        <v>6087</v>
      </c>
      <c r="N98" s="31">
        <f>IF(F98="electricity",VLOOKUP(L98,PL!H:L,3,FALSE),0)</f>
        <v>0</v>
      </c>
      <c r="O98" s="31">
        <f>IF(F98="electricity",0,VLOOKUP(L98,PL!H:L,4,FALSE))</f>
        <v>6184</v>
      </c>
      <c r="P98" s="31">
        <f>IF(F98="electricity",VLOOKUP(L98,PL!H:L,5,FALSE),0)</f>
        <v>0</v>
      </c>
      <c r="Q98" s="30">
        <f t="shared" si="59"/>
        <v>1.0159356004599966</v>
      </c>
      <c r="R98" s="30">
        <f t="shared" si="60"/>
        <v>0</v>
      </c>
      <c r="S98" s="32">
        <f>VLOOKUP(E98,PL!A:C,3,FALSE)</f>
        <v>0</v>
      </c>
      <c r="T98" s="31">
        <f t="shared" si="61"/>
        <v>0</v>
      </c>
      <c r="U98" s="31">
        <f t="shared" si="62"/>
        <v>90783000</v>
      </c>
      <c r="V98" s="31">
        <f t="shared" si="63"/>
        <v>90783000</v>
      </c>
      <c r="W98" s="32">
        <f t="shared" si="30"/>
        <v>16500</v>
      </c>
      <c r="X98" s="9" t="s">
        <v>131</v>
      </c>
      <c r="Y98" s="9" t="str">
        <f t="shared" si="31"/>
        <v>UMass Amherst (Paper Cubes)</v>
      </c>
      <c r="Z98" s="5">
        <f t="shared" si="32"/>
        <v>90783</v>
      </c>
      <c r="AA98" s="5">
        <f t="shared" si="33"/>
        <v>90783</v>
      </c>
      <c r="AB98" s="9" t="str">
        <f t="shared" si="34"/>
        <v>UMass Amherst</v>
      </c>
      <c r="AC98" s="9" t="str">
        <f t="shared" si="35"/>
        <v>Paper Cubes</v>
      </c>
      <c r="AD98" s="9" t="str">
        <f>VLOOKUP(AC98,PL!A:B,2,FALSE)</f>
        <v>Other</v>
      </c>
    </row>
    <row r="99" spans="1:30" s="9" customFormat="1" x14ac:dyDescent="0.25">
      <c r="A99" s="52">
        <v>2007</v>
      </c>
      <c r="B99" s="53" t="s">
        <v>15</v>
      </c>
      <c r="C99" s="53" t="s">
        <v>16</v>
      </c>
      <c r="D99" s="53" t="s">
        <v>21</v>
      </c>
      <c r="E99" s="53" t="s">
        <v>37</v>
      </c>
      <c r="F99" s="53" t="s">
        <v>37</v>
      </c>
      <c r="G99" s="54">
        <v>5618</v>
      </c>
      <c r="H99" s="54">
        <v>92697000</v>
      </c>
      <c r="I99" s="55">
        <v>279101.87239999999</v>
      </c>
      <c r="J99" s="53" t="s">
        <v>90</v>
      </c>
      <c r="K99" s="32">
        <v>14775</v>
      </c>
      <c r="L99" s="32" t="s">
        <v>156</v>
      </c>
      <c r="M99" s="31">
        <f>IF(F99="electricity",0,VLOOKUP(L99,PL!H:L,2,FALSE))</f>
        <v>6216</v>
      </c>
      <c r="N99" s="31">
        <f>IF(F99="electricity",VLOOKUP(L99,PL!H:L,3,FALSE),0)</f>
        <v>0</v>
      </c>
      <c r="O99" s="31">
        <f>IF(F99="electricity",0,VLOOKUP(L99,PL!H:L,4,FALSE))</f>
        <v>6184</v>
      </c>
      <c r="P99" s="31">
        <f>IF(F99="electricity",VLOOKUP(L99,PL!H:L,5,FALSE),0)</f>
        <v>0</v>
      </c>
      <c r="Q99" s="30">
        <f t="shared" si="59"/>
        <v>0.99485199485199483</v>
      </c>
      <c r="R99" s="30">
        <f t="shared" si="60"/>
        <v>0</v>
      </c>
      <c r="S99" s="32">
        <f>VLOOKUP(E99,PL!A:C,3,FALSE)</f>
        <v>0</v>
      </c>
      <c r="T99" s="31">
        <f t="shared" si="61"/>
        <v>0</v>
      </c>
      <c r="U99" s="31">
        <f t="shared" si="62"/>
        <v>92697000</v>
      </c>
      <c r="V99" s="31">
        <f t="shared" si="63"/>
        <v>92697000</v>
      </c>
      <c r="W99" s="32">
        <f t="shared" si="30"/>
        <v>16500</v>
      </c>
      <c r="X99" s="9" t="s">
        <v>131</v>
      </c>
      <c r="Y99" s="9" t="str">
        <f t="shared" si="31"/>
        <v>UMass Amherst (Paper Cubes)</v>
      </c>
      <c r="Z99" s="5">
        <f t="shared" si="32"/>
        <v>92697</v>
      </c>
      <c r="AA99" s="5">
        <f t="shared" si="33"/>
        <v>92697</v>
      </c>
      <c r="AB99" s="9" t="str">
        <f t="shared" si="34"/>
        <v>UMass Amherst</v>
      </c>
      <c r="AC99" s="9" t="str">
        <f t="shared" si="35"/>
        <v>Paper Cubes</v>
      </c>
      <c r="AD99" s="9" t="str">
        <f>VLOOKUP(AC99,PL!A:B,2,FALSE)</f>
        <v>Other</v>
      </c>
    </row>
    <row r="100" spans="1:30" s="9" customFormat="1" x14ac:dyDescent="0.25">
      <c r="A100" s="52">
        <v>2008</v>
      </c>
      <c r="B100" s="53" t="s">
        <v>15</v>
      </c>
      <c r="C100" s="53" t="s">
        <v>16</v>
      </c>
      <c r="D100" s="53" t="s">
        <v>21</v>
      </c>
      <c r="E100" s="53" t="s">
        <v>37</v>
      </c>
      <c r="F100" s="53" t="s">
        <v>37</v>
      </c>
      <c r="G100" s="54">
        <v>3193</v>
      </c>
      <c r="H100" s="54">
        <v>52684500</v>
      </c>
      <c r="I100" s="55">
        <v>158628.03</v>
      </c>
      <c r="J100" s="53" t="s">
        <v>90</v>
      </c>
      <c r="K100" s="32">
        <v>14775</v>
      </c>
      <c r="L100" s="32" t="s">
        <v>157</v>
      </c>
      <c r="M100" s="31">
        <f>IF(F100="electricity",0,VLOOKUP(L100,PL!H:L,2,FALSE))</f>
        <v>6357</v>
      </c>
      <c r="N100" s="31">
        <f>IF(F100="electricity",VLOOKUP(L100,PL!H:L,3,FALSE),0)</f>
        <v>0</v>
      </c>
      <c r="O100" s="31">
        <f>IF(F100="electricity",0,VLOOKUP(L100,PL!H:L,4,FALSE))</f>
        <v>6184</v>
      </c>
      <c r="P100" s="31">
        <f>IF(F100="electricity",VLOOKUP(L100,PL!H:L,5,FALSE),0)</f>
        <v>0</v>
      </c>
      <c r="Q100" s="30">
        <f t="shared" si="59"/>
        <v>0.97278590530124276</v>
      </c>
      <c r="R100" s="30">
        <f t="shared" si="60"/>
        <v>0</v>
      </c>
      <c r="S100" s="32">
        <f>VLOOKUP(E100,PL!A:C,3,FALSE)</f>
        <v>0</v>
      </c>
      <c r="T100" s="31">
        <f t="shared" si="61"/>
        <v>0</v>
      </c>
      <c r="U100" s="31">
        <f t="shared" si="62"/>
        <v>52684500</v>
      </c>
      <c r="V100" s="31">
        <f t="shared" si="63"/>
        <v>52684500</v>
      </c>
      <c r="W100" s="32">
        <f t="shared" si="30"/>
        <v>16500</v>
      </c>
      <c r="X100" s="9" t="s">
        <v>131</v>
      </c>
      <c r="Y100" s="9" t="str">
        <f t="shared" si="31"/>
        <v>UMass Amherst (Paper Cubes)</v>
      </c>
      <c r="Z100" s="5">
        <f t="shared" si="32"/>
        <v>52684.5</v>
      </c>
      <c r="AA100" s="5">
        <f t="shared" si="33"/>
        <v>52684.5</v>
      </c>
      <c r="AB100" s="9" t="str">
        <f t="shared" si="34"/>
        <v>UMass Amherst</v>
      </c>
      <c r="AC100" s="9" t="str">
        <f t="shared" si="35"/>
        <v>Paper Cubes</v>
      </c>
      <c r="AD100" s="9" t="str">
        <f>VLOOKUP(AC100,PL!A:B,2,FALSE)</f>
        <v>Other</v>
      </c>
    </row>
    <row r="101" spans="1:30" s="9" customFormat="1" x14ac:dyDescent="0.25">
      <c r="A101" s="52">
        <v>2002</v>
      </c>
      <c r="B101" s="53" t="s">
        <v>15</v>
      </c>
      <c r="C101" s="53" t="s">
        <v>16</v>
      </c>
      <c r="D101" s="53" t="s">
        <v>21</v>
      </c>
      <c r="E101" s="53" t="s">
        <v>35</v>
      </c>
      <c r="F101" s="53" t="s">
        <v>36</v>
      </c>
      <c r="G101" s="54">
        <v>51998</v>
      </c>
      <c r="H101" s="54">
        <v>4749150.6664933404</v>
      </c>
      <c r="I101" s="55">
        <v>55657.391000000003</v>
      </c>
      <c r="J101" s="53" t="s">
        <v>90</v>
      </c>
      <c r="K101" s="32">
        <v>14775</v>
      </c>
      <c r="L101" s="32" t="s">
        <v>163</v>
      </c>
      <c r="M101" s="31">
        <f>IF(F101="electricity",0,VLOOKUP(L101,PL!H:L,2,FALSE))</f>
        <v>4383</v>
      </c>
      <c r="N101" s="31">
        <f>IF(F101="electricity",VLOOKUP(L101,PL!H:L,3,FALSE),0)</f>
        <v>0</v>
      </c>
      <c r="O101" s="31">
        <f>IF(F101="electricity",0,VLOOKUP(L101,PL!H:L,4,FALSE))</f>
        <v>6184</v>
      </c>
      <c r="P101" s="31">
        <f>IF(F101="electricity",VLOOKUP(L101,PL!H:L,5,FALSE),0)</f>
        <v>0</v>
      </c>
      <c r="Q101" s="30">
        <f t="shared" si="59"/>
        <v>1.4109057723020761</v>
      </c>
      <c r="R101" s="30">
        <f t="shared" si="60"/>
        <v>0</v>
      </c>
      <c r="S101" s="32">
        <f>VLOOKUP(E101,PL!A:C,3,FALSE)</f>
        <v>0.9</v>
      </c>
      <c r="T101" s="31">
        <f t="shared" si="61"/>
        <v>4274235.5998440068</v>
      </c>
      <c r="U101" s="31">
        <f t="shared" si="62"/>
        <v>474915.06664933392</v>
      </c>
      <c r="V101" s="31">
        <f t="shared" si="63"/>
        <v>6505458.7466482697</v>
      </c>
      <c r="W101" s="32">
        <f t="shared" si="30"/>
        <v>91.333333330000002</v>
      </c>
      <c r="X101" s="9" t="s">
        <v>131</v>
      </c>
      <c r="Y101" s="9" t="str">
        <f t="shared" si="31"/>
        <v>UMass Amherst (Propane for Buildings)</v>
      </c>
      <c r="Z101" s="5">
        <f t="shared" si="32"/>
        <v>474.91506664933394</v>
      </c>
      <c r="AA101" s="5">
        <f t="shared" si="33"/>
        <v>6505.4587466482699</v>
      </c>
      <c r="AB101" s="9" t="str">
        <f t="shared" si="34"/>
        <v>UMass Amherst</v>
      </c>
      <c r="AC101" s="9" t="str">
        <f t="shared" si="35"/>
        <v>Propane for Buildings</v>
      </c>
      <c r="AD101" s="9" t="str">
        <f>VLOOKUP(AC101,PL!A:B,2,FALSE)</f>
        <v>Heating Oils</v>
      </c>
    </row>
    <row r="102" spans="1:30" s="9" customFormat="1" x14ac:dyDescent="0.25">
      <c r="A102" s="52">
        <v>2003</v>
      </c>
      <c r="B102" s="53" t="s">
        <v>15</v>
      </c>
      <c r="C102" s="53" t="s">
        <v>16</v>
      </c>
      <c r="D102" s="53" t="s">
        <v>21</v>
      </c>
      <c r="E102" s="53" t="s">
        <v>35</v>
      </c>
      <c r="F102" s="53" t="s">
        <v>36</v>
      </c>
      <c r="G102" s="54">
        <v>39864</v>
      </c>
      <c r="H102" s="54">
        <v>3640911.9998671203</v>
      </c>
      <c r="I102" s="55">
        <v>42669.453300000001</v>
      </c>
      <c r="J102" s="53" t="s">
        <v>90</v>
      </c>
      <c r="K102" s="32">
        <v>14775</v>
      </c>
      <c r="L102" s="32" t="s">
        <v>164</v>
      </c>
      <c r="M102" s="31">
        <f>IF(F102="electricity",0,VLOOKUP(L102,PL!H:L,2,FALSE))</f>
        <v>5939</v>
      </c>
      <c r="N102" s="31">
        <f>IF(F102="electricity",VLOOKUP(L102,PL!H:L,3,FALSE),0)</f>
        <v>0</v>
      </c>
      <c r="O102" s="31">
        <f>IF(F102="electricity",0,VLOOKUP(L102,PL!H:L,4,FALSE))</f>
        <v>6184</v>
      </c>
      <c r="P102" s="31">
        <f>IF(F102="electricity",VLOOKUP(L102,PL!H:L,5,FALSE),0)</f>
        <v>0</v>
      </c>
      <c r="Q102" s="30">
        <f t="shared" si="59"/>
        <v>1.0412527361508672</v>
      </c>
      <c r="R102" s="30">
        <f t="shared" si="60"/>
        <v>0</v>
      </c>
      <c r="S102" s="32">
        <f>VLOOKUP(E102,PL!A:C,3,FALSE)</f>
        <v>0.9</v>
      </c>
      <c r="T102" s="31">
        <f t="shared" si="61"/>
        <v>3276820.7998804082</v>
      </c>
      <c r="U102" s="31">
        <f t="shared" si="62"/>
        <v>364091.19998671196</v>
      </c>
      <c r="V102" s="31">
        <f t="shared" si="63"/>
        <v>3776089.8237382607</v>
      </c>
      <c r="W102" s="32">
        <f t="shared" si="30"/>
        <v>91.333333330000002</v>
      </c>
      <c r="X102" s="9" t="s">
        <v>131</v>
      </c>
      <c r="Y102" s="9" t="str">
        <f t="shared" si="31"/>
        <v>UMass Amherst (Propane for Buildings)</v>
      </c>
      <c r="Z102" s="5">
        <f t="shared" si="32"/>
        <v>364.09119998671196</v>
      </c>
      <c r="AA102" s="5">
        <f t="shared" si="33"/>
        <v>3776.0898237382607</v>
      </c>
      <c r="AB102" s="9" t="str">
        <f t="shared" si="34"/>
        <v>UMass Amherst</v>
      </c>
      <c r="AC102" s="9" t="str">
        <f t="shared" si="35"/>
        <v>Propane for Buildings</v>
      </c>
      <c r="AD102" s="9" t="str">
        <f>VLOOKUP(AC102,PL!A:B,2,FALSE)</f>
        <v>Heating Oils</v>
      </c>
    </row>
    <row r="103" spans="1:30" s="9" customFormat="1" x14ac:dyDescent="0.25">
      <c r="A103" s="52">
        <v>2004</v>
      </c>
      <c r="B103" s="53" t="s">
        <v>15</v>
      </c>
      <c r="C103" s="53" t="s">
        <v>16</v>
      </c>
      <c r="D103" s="53" t="s">
        <v>21</v>
      </c>
      <c r="E103" s="53" t="s">
        <v>35</v>
      </c>
      <c r="F103" s="53" t="s">
        <v>36</v>
      </c>
      <c r="G103" s="54">
        <v>60854</v>
      </c>
      <c r="H103" s="54">
        <v>5557998.6664638203</v>
      </c>
      <c r="I103" s="55">
        <v>60255</v>
      </c>
      <c r="J103" s="53" t="s">
        <v>90</v>
      </c>
      <c r="K103" s="32">
        <v>14775</v>
      </c>
      <c r="L103" s="32" t="s">
        <v>165</v>
      </c>
      <c r="M103" s="31">
        <f>IF(F103="electricity",0,VLOOKUP(L103,PL!H:L,2,FALSE))</f>
        <v>5939</v>
      </c>
      <c r="N103" s="31">
        <f>IF(F103="electricity",VLOOKUP(L103,PL!H:L,3,FALSE),0)</f>
        <v>0</v>
      </c>
      <c r="O103" s="31">
        <f>IF(F103="electricity",0,VLOOKUP(L103,PL!H:L,4,FALSE))</f>
        <v>6184</v>
      </c>
      <c r="P103" s="31">
        <f>IF(F103="electricity",VLOOKUP(L103,PL!H:L,5,FALSE),0)</f>
        <v>0</v>
      </c>
      <c r="Q103" s="30">
        <f t="shared" si="59"/>
        <v>1.0412527361508672</v>
      </c>
      <c r="R103" s="30">
        <f t="shared" si="60"/>
        <v>0</v>
      </c>
      <c r="S103" s="32">
        <f>VLOOKUP(E103,PL!A:C,3,FALSE)</f>
        <v>0.9</v>
      </c>
      <c r="T103" s="31">
        <f t="shared" si="61"/>
        <v>5002198.7998174382</v>
      </c>
      <c r="U103" s="31">
        <f t="shared" si="62"/>
        <v>555799.86664638191</v>
      </c>
      <c r="V103" s="31">
        <f t="shared" si="63"/>
        <v>5764353.0537268734</v>
      </c>
      <c r="W103" s="32">
        <f t="shared" si="30"/>
        <v>91.333333330000002</v>
      </c>
      <c r="X103" s="9" t="s">
        <v>131</v>
      </c>
      <c r="Y103" s="9" t="str">
        <f t="shared" si="31"/>
        <v>UMass Amherst (Propane for Buildings)</v>
      </c>
      <c r="Z103" s="5">
        <f t="shared" si="32"/>
        <v>555.79986664638193</v>
      </c>
      <c r="AA103" s="5">
        <f t="shared" si="33"/>
        <v>5764.3530537268734</v>
      </c>
      <c r="AB103" s="9" t="str">
        <f t="shared" si="34"/>
        <v>UMass Amherst</v>
      </c>
      <c r="AC103" s="9" t="str">
        <f t="shared" si="35"/>
        <v>Propane for Buildings</v>
      </c>
      <c r="AD103" s="9" t="str">
        <f>VLOOKUP(AC103,PL!A:B,2,FALSE)</f>
        <v>Heating Oils</v>
      </c>
    </row>
    <row r="104" spans="1:30" s="9" customFormat="1" x14ac:dyDescent="0.25">
      <c r="A104" s="52">
        <v>2005</v>
      </c>
      <c r="B104" s="53" t="s">
        <v>15</v>
      </c>
      <c r="C104" s="53" t="s">
        <v>16</v>
      </c>
      <c r="D104" s="53" t="s">
        <v>21</v>
      </c>
      <c r="E104" s="53" t="s">
        <v>35</v>
      </c>
      <c r="F104" s="53" t="s">
        <v>36</v>
      </c>
      <c r="G104" s="54">
        <v>67096</v>
      </c>
      <c r="H104" s="54">
        <v>6128101.3331096806</v>
      </c>
      <c r="I104" s="55">
        <v>72322</v>
      </c>
      <c r="J104" s="53" t="s">
        <v>90</v>
      </c>
      <c r="K104" s="32">
        <v>14775</v>
      </c>
      <c r="L104" s="32" t="s">
        <v>166</v>
      </c>
      <c r="M104" s="31">
        <f>IF(F104="electricity",0,VLOOKUP(L104,PL!H:L,2,FALSE))</f>
        <v>6620</v>
      </c>
      <c r="N104" s="31">
        <f>IF(F104="electricity",VLOOKUP(L104,PL!H:L,3,FALSE),0)</f>
        <v>0</v>
      </c>
      <c r="O104" s="31">
        <f>IF(F104="electricity",0,VLOOKUP(L104,PL!H:L,4,FALSE))</f>
        <v>6184</v>
      </c>
      <c r="P104" s="31">
        <f>IF(F104="electricity",VLOOKUP(L104,PL!H:L,5,FALSE),0)</f>
        <v>0</v>
      </c>
      <c r="Q104" s="30">
        <f t="shared" si="59"/>
        <v>0.93413897280966762</v>
      </c>
      <c r="R104" s="30">
        <f t="shared" si="60"/>
        <v>0</v>
      </c>
      <c r="S104" s="32">
        <f>VLOOKUP(E104,PL!A:C,3,FALSE)</f>
        <v>0.9</v>
      </c>
      <c r="T104" s="31">
        <f t="shared" si="61"/>
        <v>5515291.1997987125</v>
      </c>
      <c r="U104" s="31">
        <f t="shared" si="62"/>
        <v>612810.13331096794</v>
      </c>
      <c r="V104" s="31">
        <f t="shared" si="63"/>
        <v>5764858.5894371364</v>
      </c>
      <c r="W104" s="32">
        <f t="shared" si="30"/>
        <v>91.333333330000002</v>
      </c>
      <c r="X104" s="9" t="s">
        <v>131</v>
      </c>
      <c r="Y104" s="9" t="str">
        <f t="shared" si="31"/>
        <v>UMass Amherst (Propane for Buildings)</v>
      </c>
      <c r="Z104" s="5">
        <f t="shared" si="32"/>
        <v>612.8101333109679</v>
      </c>
      <c r="AA104" s="5">
        <f t="shared" si="33"/>
        <v>5764.8585894371363</v>
      </c>
      <c r="AB104" s="9" t="str">
        <f t="shared" si="34"/>
        <v>UMass Amherst</v>
      </c>
      <c r="AC104" s="9" t="str">
        <f t="shared" si="35"/>
        <v>Propane for Buildings</v>
      </c>
      <c r="AD104" s="9" t="str">
        <f>VLOOKUP(AC104,PL!A:B,2,FALSE)</f>
        <v>Heating Oils</v>
      </c>
    </row>
    <row r="105" spans="1:30" s="9" customFormat="1" x14ac:dyDescent="0.25">
      <c r="A105" s="52">
        <v>2006</v>
      </c>
      <c r="B105" s="53" t="s">
        <v>15</v>
      </c>
      <c r="C105" s="53" t="s">
        <v>16</v>
      </c>
      <c r="D105" s="53" t="s">
        <v>21</v>
      </c>
      <c r="E105" s="53" t="s">
        <v>35</v>
      </c>
      <c r="F105" s="53" t="s">
        <v>36</v>
      </c>
      <c r="G105" s="54">
        <v>56927</v>
      </c>
      <c r="H105" s="54">
        <v>5199332.66647691</v>
      </c>
      <c r="I105" s="55">
        <v>74517</v>
      </c>
      <c r="J105" s="53" t="s">
        <v>90</v>
      </c>
      <c r="K105" s="32">
        <v>14775</v>
      </c>
      <c r="L105" s="32" t="s">
        <v>155</v>
      </c>
      <c r="M105" s="31">
        <f>IF(F105="electricity",0,VLOOKUP(L105,PL!H:L,2,FALSE))</f>
        <v>6087</v>
      </c>
      <c r="N105" s="31">
        <f>IF(F105="electricity",VLOOKUP(L105,PL!H:L,3,FALSE),0)</f>
        <v>0</v>
      </c>
      <c r="O105" s="31">
        <f>IF(F105="electricity",0,VLOOKUP(L105,PL!H:L,4,FALSE))</f>
        <v>6184</v>
      </c>
      <c r="P105" s="31">
        <f>IF(F105="electricity",VLOOKUP(L105,PL!H:L,5,FALSE),0)</f>
        <v>0</v>
      </c>
      <c r="Q105" s="30">
        <f t="shared" si="59"/>
        <v>1.0159356004599966</v>
      </c>
      <c r="R105" s="30">
        <f t="shared" si="60"/>
        <v>0</v>
      </c>
      <c r="S105" s="32">
        <f>VLOOKUP(E105,PL!A:C,3,FALSE)</f>
        <v>0.9</v>
      </c>
      <c r="T105" s="31">
        <f t="shared" si="61"/>
        <v>4679399.3998292191</v>
      </c>
      <c r="U105" s="31">
        <f t="shared" si="62"/>
        <v>519933.26664769091</v>
      </c>
      <c r="V105" s="31">
        <f t="shared" si="63"/>
        <v>5273901.7057053363</v>
      </c>
      <c r="W105" s="32">
        <f t="shared" si="30"/>
        <v>91.333333330000002</v>
      </c>
      <c r="X105" s="9" t="s">
        <v>131</v>
      </c>
      <c r="Y105" s="9" t="str">
        <f t="shared" si="31"/>
        <v>UMass Amherst (Propane for Buildings)</v>
      </c>
      <c r="Z105" s="5">
        <f t="shared" si="32"/>
        <v>519.93326664769086</v>
      </c>
      <c r="AA105" s="5">
        <f t="shared" si="33"/>
        <v>5273.9017057053361</v>
      </c>
      <c r="AB105" s="9" t="str">
        <f t="shared" si="34"/>
        <v>UMass Amherst</v>
      </c>
      <c r="AC105" s="9" t="str">
        <f t="shared" si="35"/>
        <v>Propane for Buildings</v>
      </c>
      <c r="AD105" s="9" t="str">
        <f>VLOOKUP(AC105,PL!A:B,2,FALSE)</f>
        <v>Heating Oils</v>
      </c>
    </row>
    <row r="106" spans="1:30" s="9" customFormat="1" x14ac:dyDescent="0.25">
      <c r="A106" s="52">
        <v>2007</v>
      </c>
      <c r="B106" s="53" t="s">
        <v>15</v>
      </c>
      <c r="C106" s="53" t="s">
        <v>16</v>
      </c>
      <c r="D106" s="53" t="s">
        <v>21</v>
      </c>
      <c r="E106" s="53" t="s">
        <v>35</v>
      </c>
      <c r="F106" s="53" t="s">
        <v>36</v>
      </c>
      <c r="G106" s="54">
        <v>49264</v>
      </c>
      <c r="H106" s="54">
        <v>4499445.3331691204</v>
      </c>
      <c r="I106" s="55">
        <v>124656.8183</v>
      </c>
      <c r="J106" s="53" t="s">
        <v>90</v>
      </c>
      <c r="K106" s="32">
        <v>14775</v>
      </c>
      <c r="L106" s="32" t="s">
        <v>156</v>
      </c>
      <c r="M106" s="31">
        <f>IF(F106="electricity",0,VLOOKUP(L106,PL!H:L,2,FALSE))</f>
        <v>6216</v>
      </c>
      <c r="N106" s="31">
        <f>IF(F106="electricity",VLOOKUP(L106,PL!H:L,3,FALSE),0)</f>
        <v>0</v>
      </c>
      <c r="O106" s="31">
        <f>IF(F106="electricity",0,VLOOKUP(L106,PL!H:L,4,FALSE))</f>
        <v>6184</v>
      </c>
      <c r="P106" s="31">
        <f>IF(F106="electricity",VLOOKUP(L106,PL!H:L,5,FALSE),0)</f>
        <v>0</v>
      </c>
      <c r="Q106" s="30">
        <f t="shared" si="59"/>
        <v>0.99485199485199483</v>
      </c>
      <c r="R106" s="30">
        <f t="shared" si="60"/>
        <v>0</v>
      </c>
      <c r="S106" s="32">
        <f>VLOOKUP(E106,PL!A:C,3,FALSE)</f>
        <v>0.9</v>
      </c>
      <c r="T106" s="31">
        <f t="shared" si="61"/>
        <v>4049500.7998522082</v>
      </c>
      <c r="U106" s="31">
        <f t="shared" si="62"/>
        <v>449944.53331691195</v>
      </c>
      <c r="V106" s="31">
        <f t="shared" si="63"/>
        <v>4478598.48220463</v>
      </c>
      <c r="W106" s="32">
        <f t="shared" si="30"/>
        <v>91.333333330000002</v>
      </c>
      <c r="X106" s="9" t="s">
        <v>131</v>
      </c>
      <c r="Y106" s="9" t="str">
        <f t="shared" si="31"/>
        <v>UMass Amherst (Propane for Buildings)</v>
      </c>
      <c r="Z106" s="5">
        <f t="shared" si="32"/>
        <v>449.94453331691193</v>
      </c>
      <c r="AA106" s="5">
        <f t="shared" si="33"/>
        <v>4478.5984822046303</v>
      </c>
      <c r="AB106" s="9" t="str">
        <f t="shared" si="34"/>
        <v>UMass Amherst</v>
      </c>
      <c r="AC106" s="9" t="str">
        <f t="shared" si="35"/>
        <v>Propane for Buildings</v>
      </c>
      <c r="AD106" s="9" t="str">
        <f>VLOOKUP(AC106,PL!A:B,2,FALSE)</f>
        <v>Heating Oils</v>
      </c>
    </row>
    <row r="107" spans="1:30" s="9" customFormat="1" x14ac:dyDescent="0.25">
      <c r="A107" s="52">
        <v>2008</v>
      </c>
      <c r="B107" s="53" t="s">
        <v>15</v>
      </c>
      <c r="C107" s="53" t="s">
        <v>16</v>
      </c>
      <c r="D107" s="53" t="s">
        <v>21</v>
      </c>
      <c r="E107" s="53" t="s">
        <v>35</v>
      </c>
      <c r="F107" s="53" t="s">
        <v>36</v>
      </c>
      <c r="G107" s="54">
        <v>36513</v>
      </c>
      <c r="H107" s="54">
        <v>3334853.9998782901</v>
      </c>
      <c r="I107" s="55">
        <v>101222.5815</v>
      </c>
      <c r="J107" s="53" t="s">
        <v>90</v>
      </c>
      <c r="K107" s="32">
        <v>14775</v>
      </c>
      <c r="L107" s="32" t="s">
        <v>157</v>
      </c>
      <c r="M107" s="31">
        <f>IF(F107="electricity",0,VLOOKUP(L107,PL!H:L,2,FALSE))</f>
        <v>6357</v>
      </c>
      <c r="N107" s="31">
        <f>IF(F107="electricity",VLOOKUP(L107,PL!H:L,3,FALSE),0)</f>
        <v>0</v>
      </c>
      <c r="O107" s="31">
        <f>IF(F107="electricity",0,VLOOKUP(L107,PL!H:L,4,FALSE))</f>
        <v>6184</v>
      </c>
      <c r="P107" s="31">
        <f>IF(F107="electricity",VLOOKUP(L107,PL!H:L,5,FALSE),0)</f>
        <v>0</v>
      </c>
      <c r="Q107" s="30">
        <f t="shared" si="59"/>
        <v>0.97278590530124276</v>
      </c>
      <c r="R107" s="30">
        <f t="shared" si="60"/>
        <v>0</v>
      </c>
      <c r="S107" s="32">
        <f>VLOOKUP(E107,PL!A:C,3,FALSE)</f>
        <v>0.9</v>
      </c>
      <c r="T107" s="31">
        <f t="shared" si="61"/>
        <v>3001368.5998904612</v>
      </c>
      <c r="U107" s="31">
        <f t="shared" si="62"/>
        <v>333485.39998782892</v>
      </c>
      <c r="V107" s="31">
        <f t="shared" si="63"/>
        <v>3253174.4705749946</v>
      </c>
      <c r="W107" s="32">
        <f t="shared" si="30"/>
        <v>91.333333330000002</v>
      </c>
      <c r="X107" s="9" t="s">
        <v>131</v>
      </c>
      <c r="Y107" s="9" t="str">
        <f t="shared" si="31"/>
        <v>UMass Amherst (Propane for Buildings)</v>
      </c>
      <c r="Z107" s="5">
        <f t="shared" si="32"/>
        <v>333.48539998782894</v>
      </c>
      <c r="AA107" s="5">
        <f t="shared" si="33"/>
        <v>3253.1744705749948</v>
      </c>
      <c r="AB107" s="9" t="str">
        <f t="shared" si="34"/>
        <v>UMass Amherst</v>
      </c>
      <c r="AC107" s="9" t="str">
        <f t="shared" si="35"/>
        <v>Propane for Buildings</v>
      </c>
      <c r="AD107" s="9" t="str">
        <f>VLOOKUP(AC107,PL!A:B,2,FALSE)</f>
        <v>Heating Oils</v>
      </c>
    </row>
    <row r="108" spans="1:30" s="9" customFormat="1" x14ac:dyDescent="0.25">
      <c r="A108" s="52">
        <v>2009</v>
      </c>
      <c r="B108" s="53" t="s">
        <v>15</v>
      </c>
      <c r="C108" s="53" t="s">
        <v>16</v>
      </c>
      <c r="D108" s="53" t="s">
        <v>21</v>
      </c>
      <c r="E108" s="53" t="s">
        <v>35</v>
      </c>
      <c r="F108" s="53" t="s">
        <v>36</v>
      </c>
      <c r="G108" s="54">
        <v>53807</v>
      </c>
      <c r="H108" s="54">
        <v>4914372.6664873101</v>
      </c>
      <c r="I108" s="55">
        <v>124323.61659999999</v>
      </c>
      <c r="J108" s="53" t="s">
        <v>90</v>
      </c>
      <c r="K108" s="32">
        <v>14775</v>
      </c>
      <c r="L108" s="32" t="s">
        <v>158</v>
      </c>
      <c r="M108" s="31">
        <f>IF(F108="electricity",0,VLOOKUP(L108,PL!H:L,2,FALSE))</f>
        <v>6513</v>
      </c>
      <c r="N108" s="31">
        <f>IF(F108="electricity",VLOOKUP(L108,PL!H:L,3,FALSE),0)</f>
        <v>0</v>
      </c>
      <c r="O108" s="31">
        <f>IF(F108="electricity",0,VLOOKUP(L108,PL!H:L,4,FALSE))</f>
        <v>6184</v>
      </c>
      <c r="P108" s="31">
        <f>IF(F108="electricity",VLOOKUP(L108,PL!H:L,5,FALSE),0)</f>
        <v>0</v>
      </c>
      <c r="Q108" s="30">
        <f t="shared" si="59"/>
        <v>0.94948564409642255</v>
      </c>
      <c r="R108" s="30">
        <f t="shared" si="60"/>
        <v>0</v>
      </c>
      <c r="S108" s="32">
        <f>VLOOKUP(E108,PL!A:C,3,FALSE)</f>
        <v>0.9</v>
      </c>
      <c r="T108" s="31">
        <f t="shared" si="61"/>
        <v>4422935.3998385789</v>
      </c>
      <c r="U108" s="31">
        <f t="shared" si="62"/>
        <v>491437.2666487309</v>
      </c>
      <c r="V108" s="31">
        <f t="shared" si="63"/>
        <v>4690950.9335613325</v>
      </c>
      <c r="W108" s="32">
        <f t="shared" si="30"/>
        <v>91.333333330000002</v>
      </c>
      <c r="X108" s="9" t="s">
        <v>131</v>
      </c>
      <c r="Y108" s="9" t="str">
        <f t="shared" si="31"/>
        <v>UMass Amherst (Propane for Buildings)</v>
      </c>
      <c r="Z108" s="5">
        <f t="shared" si="32"/>
        <v>491.43726664873088</v>
      </c>
      <c r="AA108" s="5">
        <f t="shared" si="33"/>
        <v>4690.9509335613329</v>
      </c>
      <c r="AB108" s="9" t="str">
        <f t="shared" si="34"/>
        <v>UMass Amherst</v>
      </c>
      <c r="AC108" s="9" t="str">
        <f t="shared" si="35"/>
        <v>Propane for Buildings</v>
      </c>
      <c r="AD108" s="9" t="str">
        <f>VLOOKUP(AC108,PL!A:B,2,FALSE)</f>
        <v>Heating Oils</v>
      </c>
    </row>
    <row r="109" spans="1:30" s="9" customFormat="1" x14ac:dyDescent="0.25">
      <c r="A109" s="52">
        <v>2010</v>
      </c>
      <c r="B109" s="53" t="s">
        <v>15</v>
      </c>
      <c r="C109" s="53" t="s">
        <v>16</v>
      </c>
      <c r="D109" s="53" t="s">
        <v>21</v>
      </c>
      <c r="E109" s="53" t="s">
        <v>35</v>
      </c>
      <c r="F109" s="53" t="s">
        <v>36</v>
      </c>
      <c r="G109" s="54">
        <v>40123</v>
      </c>
      <c r="H109" s="54">
        <v>3664567.33319959</v>
      </c>
      <c r="I109" s="55">
        <v>52746</v>
      </c>
      <c r="J109" s="53" t="s">
        <v>90</v>
      </c>
      <c r="K109" s="32">
        <v>14775</v>
      </c>
      <c r="L109" s="32" t="s">
        <v>159</v>
      </c>
      <c r="M109" s="31">
        <f>IF(F109="electricity",0,VLOOKUP(L109,PL!H:L,2,FALSE))</f>
        <v>5785</v>
      </c>
      <c r="N109" s="31">
        <f>IF(F109="electricity",VLOOKUP(L109,PL!H:L,3,FALSE),0)</f>
        <v>0</v>
      </c>
      <c r="O109" s="31">
        <f>IF(F109="electricity",0,VLOOKUP(L109,PL!H:L,4,FALSE))</f>
        <v>6184</v>
      </c>
      <c r="P109" s="31">
        <f>IF(F109="electricity",VLOOKUP(L109,PL!H:L,5,FALSE),0)</f>
        <v>0</v>
      </c>
      <c r="Q109" s="30">
        <f t="shared" si="59"/>
        <v>1.0689714779602419</v>
      </c>
      <c r="R109" s="30">
        <f t="shared" si="60"/>
        <v>0</v>
      </c>
      <c r="S109" s="32">
        <f>VLOOKUP(E109,PL!A:C,3,FALSE)</f>
        <v>0.9</v>
      </c>
      <c r="T109" s="31">
        <f t="shared" si="61"/>
        <v>3298110.5998796308</v>
      </c>
      <c r="U109" s="31">
        <f t="shared" si="62"/>
        <v>366456.7333199589</v>
      </c>
      <c r="V109" s="31">
        <f t="shared" si="63"/>
        <v>3892042.8957496276</v>
      </c>
      <c r="W109" s="32">
        <f t="shared" si="30"/>
        <v>91.333333330000002</v>
      </c>
      <c r="X109" s="9" t="s">
        <v>131</v>
      </c>
      <c r="Y109" s="9" t="str">
        <f t="shared" si="31"/>
        <v>UMass Amherst (Propane for Buildings)</v>
      </c>
      <c r="Z109" s="5">
        <f t="shared" si="32"/>
        <v>366.45673331995891</v>
      </c>
      <c r="AA109" s="5">
        <f t="shared" si="33"/>
        <v>3892.0428957496274</v>
      </c>
      <c r="AB109" s="9" t="str">
        <f t="shared" si="34"/>
        <v>UMass Amherst</v>
      </c>
      <c r="AC109" s="9" t="str">
        <f t="shared" si="35"/>
        <v>Propane for Buildings</v>
      </c>
      <c r="AD109" s="9" t="str">
        <f>VLOOKUP(AC109,PL!A:B,2,FALSE)</f>
        <v>Heating Oils</v>
      </c>
    </row>
    <row r="110" spans="1:30" s="9" customFormat="1" x14ac:dyDescent="0.25">
      <c r="A110" s="52">
        <v>2011</v>
      </c>
      <c r="B110" s="53" t="s">
        <v>15</v>
      </c>
      <c r="C110" s="53" t="s">
        <v>16</v>
      </c>
      <c r="D110" s="53" t="s">
        <v>21</v>
      </c>
      <c r="E110" s="53" t="s">
        <v>35</v>
      </c>
      <c r="F110" s="53" t="s">
        <v>36</v>
      </c>
      <c r="G110" s="54">
        <v>41092</v>
      </c>
      <c r="H110" s="54">
        <v>3753069.3331963602</v>
      </c>
      <c r="I110" s="55">
        <v>77941</v>
      </c>
      <c r="J110" s="53" t="s">
        <v>90</v>
      </c>
      <c r="K110" s="32">
        <v>14775</v>
      </c>
      <c r="L110" s="32" t="s">
        <v>160</v>
      </c>
      <c r="M110" s="31">
        <f>IF(F110="electricity",0,VLOOKUP(L110,PL!H:L,2,FALSE))</f>
        <v>6270</v>
      </c>
      <c r="N110" s="31">
        <f>IF(F110="electricity",VLOOKUP(L110,PL!H:L,3,FALSE),0)</f>
        <v>0</v>
      </c>
      <c r="O110" s="31">
        <f>IF(F110="electricity",0,VLOOKUP(L110,PL!H:L,4,FALSE))</f>
        <v>6184</v>
      </c>
      <c r="P110" s="31">
        <f>IF(F110="electricity",VLOOKUP(L110,PL!H:L,5,FALSE),0)</f>
        <v>0</v>
      </c>
      <c r="Q110" s="30">
        <f t="shared" si="59"/>
        <v>0.98628389154704943</v>
      </c>
      <c r="R110" s="30">
        <f t="shared" si="60"/>
        <v>0</v>
      </c>
      <c r="S110" s="32">
        <f>VLOOKUP(E110,PL!A:C,3,FALSE)</f>
        <v>0.9</v>
      </c>
      <c r="T110" s="31">
        <f t="shared" si="61"/>
        <v>3377762.399876724</v>
      </c>
      <c r="U110" s="31">
        <f t="shared" si="62"/>
        <v>375306.93331963592</v>
      </c>
      <c r="V110" s="31">
        <f t="shared" si="63"/>
        <v>3706739.5777913518</v>
      </c>
      <c r="W110" s="32">
        <f t="shared" si="30"/>
        <v>91.333333330000002</v>
      </c>
      <c r="X110" s="9" t="s">
        <v>131</v>
      </c>
      <c r="Y110" s="9" t="str">
        <f t="shared" si="31"/>
        <v>UMass Amherst (Propane for Buildings)</v>
      </c>
      <c r="Z110" s="5">
        <f t="shared" si="32"/>
        <v>375.3069333196359</v>
      </c>
      <c r="AA110" s="5">
        <f t="shared" si="33"/>
        <v>3706.7395777913516</v>
      </c>
      <c r="AB110" s="9" t="str">
        <f t="shared" si="34"/>
        <v>UMass Amherst</v>
      </c>
      <c r="AC110" s="9" t="str">
        <f t="shared" si="35"/>
        <v>Propane for Buildings</v>
      </c>
      <c r="AD110" s="9" t="str">
        <f>VLOOKUP(AC110,PL!A:B,2,FALSE)</f>
        <v>Heating Oils</v>
      </c>
    </row>
    <row r="111" spans="1:30" x14ac:dyDescent="0.25">
      <c r="A111" s="52">
        <v>2012</v>
      </c>
      <c r="B111" s="53" t="s">
        <v>15</v>
      </c>
      <c r="C111" s="53" t="s">
        <v>16</v>
      </c>
      <c r="D111" s="53" t="s">
        <v>21</v>
      </c>
      <c r="E111" s="53" t="s">
        <v>35</v>
      </c>
      <c r="F111" s="53" t="s">
        <v>36</v>
      </c>
      <c r="G111" s="54">
        <v>28954</v>
      </c>
      <c r="H111" s="54">
        <v>2644465.3332368201</v>
      </c>
      <c r="I111" s="55">
        <v>63541</v>
      </c>
      <c r="J111" s="53" t="s">
        <v>90</v>
      </c>
      <c r="K111" s="71">
        <v>14775</v>
      </c>
      <c r="L111" s="71" t="s">
        <v>161</v>
      </c>
      <c r="M111" s="31">
        <f>IF(F111="electricity",0,VLOOKUP(L111,PL!H:L,2,FALSE))</f>
        <v>4908</v>
      </c>
      <c r="N111" s="31">
        <f>IF(F111="electricity",VLOOKUP(L111,PL!H:L,3,FALSE),0)</f>
        <v>0</v>
      </c>
      <c r="O111" s="31">
        <f>IF(F111="electricity",0,VLOOKUP(L111,PL!H:L,4,FALSE))</f>
        <v>6184</v>
      </c>
      <c r="P111" s="31">
        <f>IF(F111="electricity",VLOOKUP(L111,PL!H:L,5,FALSE),0)</f>
        <v>0</v>
      </c>
      <c r="Q111" s="30">
        <f t="shared" si="59"/>
        <v>1.2599837000814995</v>
      </c>
      <c r="R111" s="30">
        <f t="shared" si="60"/>
        <v>0</v>
      </c>
      <c r="S111" s="71">
        <f>VLOOKUP(E111,PL!A:C,3,FALSE)</f>
        <v>0.9</v>
      </c>
      <c r="T111" s="31">
        <f t="shared" si="61"/>
        <v>2380018.7999131382</v>
      </c>
      <c r="U111" s="31">
        <f t="shared" si="62"/>
        <v>264446.53332368197</v>
      </c>
      <c r="V111" s="31">
        <f t="shared" si="63"/>
        <v>3263231.4271017676</v>
      </c>
      <c r="W111" s="71">
        <f t="shared" si="30"/>
        <v>91.333333330000002</v>
      </c>
      <c r="X111" s="69" t="s">
        <v>131</v>
      </c>
      <c r="Y111" s="69" t="str">
        <f t="shared" ref="Y111:Y115" si="64">C111 &amp;" ("&amp;E111&amp;")"</f>
        <v>UMass Amherst (Propane for Buildings)</v>
      </c>
      <c r="Z111" s="74">
        <f t="shared" ref="Z111:Z115" si="65">U111/1000</f>
        <v>264.44653332368199</v>
      </c>
      <c r="AA111" s="74">
        <f t="shared" ref="AA111:AA115" si="66">V111/1000</f>
        <v>3263.2314271017676</v>
      </c>
      <c r="AB111" s="69" t="str">
        <f t="shared" ref="AB111:AB115" si="67">C111</f>
        <v>UMass Amherst</v>
      </c>
      <c r="AC111" s="69" t="str">
        <f t="shared" ref="AC111:AC115" si="68">E111</f>
        <v>Propane for Buildings</v>
      </c>
      <c r="AD111" s="69" t="str">
        <f>VLOOKUP(AC111,PL!A:B,2,FALSE)</f>
        <v>Heating Oils</v>
      </c>
    </row>
    <row r="112" spans="1:30" x14ac:dyDescent="0.25">
      <c r="A112" s="52">
        <v>2013</v>
      </c>
      <c r="B112" s="53" t="s">
        <v>15</v>
      </c>
      <c r="C112" s="53" t="s">
        <v>16</v>
      </c>
      <c r="D112" s="53" t="s">
        <v>21</v>
      </c>
      <c r="E112" s="53" t="s">
        <v>35</v>
      </c>
      <c r="F112" s="53" t="s">
        <v>36</v>
      </c>
      <c r="G112" s="54">
        <v>31241.02</v>
      </c>
      <c r="H112" s="54">
        <v>2853346.4932291969</v>
      </c>
      <c r="I112" s="55">
        <v>67488.289999999994</v>
      </c>
      <c r="J112" s="53" t="s">
        <v>90</v>
      </c>
      <c r="K112" s="71">
        <v>14775</v>
      </c>
      <c r="L112" s="71" t="s">
        <v>162</v>
      </c>
      <c r="M112" s="31">
        <f>IF(F112="electricity",0,VLOOKUP(L112,PL!H:L,2,FALSE))</f>
        <v>6410</v>
      </c>
      <c r="N112" s="31">
        <f>IF(F112="electricity",VLOOKUP(L112,PL!H:L,3,FALSE),0)</f>
        <v>0</v>
      </c>
      <c r="O112" s="31">
        <f>IF(F112="electricity",0,VLOOKUP(L112,PL!H:L,4,FALSE))</f>
        <v>6184</v>
      </c>
      <c r="P112" s="31">
        <f>IF(F112="electricity",VLOOKUP(L112,PL!H:L,5,FALSE),0)</f>
        <v>0</v>
      </c>
      <c r="Q112" s="30">
        <f t="shared" si="59"/>
        <v>0.96474258970358817</v>
      </c>
      <c r="R112" s="30">
        <f t="shared" si="60"/>
        <v>0</v>
      </c>
      <c r="S112" s="71">
        <f>VLOOKUP(E112,PL!A:C,3,FALSE)</f>
        <v>0.9</v>
      </c>
      <c r="T112" s="31">
        <f t="shared" si="61"/>
        <v>2568011.8439062773</v>
      </c>
      <c r="U112" s="31">
        <f t="shared" si="62"/>
        <v>285334.64932291961</v>
      </c>
      <c r="V112" s="31">
        <f t="shared" si="63"/>
        <v>2762805.0460025482</v>
      </c>
      <c r="W112" s="71">
        <f t="shared" si="30"/>
        <v>91.333333330000002</v>
      </c>
      <c r="X112" s="69" t="s">
        <v>131</v>
      </c>
      <c r="Y112" s="69" t="str">
        <f t="shared" si="64"/>
        <v>UMass Amherst (Propane for Buildings)</v>
      </c>
      <c r="Z112" s="74">
        <f t="shared" si="65"/>
        <v>285.33464932291963</v>
      </c>
      <c r="AA112" s="74">
        <f t="shared" si="66"/>
        <v>2762.8050460025484</v>
      </c>
      <c r="AB112" s="69" t="str">
        <f t="shared" si="67"/>
        <v>UMass Amherst</v>
      </c>
      <c r="AC112" s="69" t="str">
        <f t="shared" si="68"/>
        <v>Propane for Buildings</v>
      </c>
      <c r="AD112" s="69" t="str">
        <f>VLOOKUP(AC112,PL!A:B,2,FALSE)</f>
        <v>Heating Oils</v>
      </c>
    </row>
    <row r="113" spans="1:30" x14ac:dyDescent="0.25">
      <c r="A113" s="75">
        <v>2015</v>
      </c>
      <c r="B113" s="36" t="s">
        <v>15</v>
      </c>
      <c r="C113" s="71" t="s">
        <v>16</v>
      </c>
      <c r="D113" s="36" t="s">
        <v>21</v>
      </c>
      <c r="E113" s="21" t="s">
        <v>35</v>
      </c>
      <c r="F113" s="36" t="s">
        <v>36</v>
      </c>
      <c r="G113" s="54">
        <v>46813</v>
      </c>
      <c r="H113" s="54">
        <v>4275587.3331772899</v>
      </c>
      <c r="I113" s="55">
        <v>108430.37</v>
      </c>
      <c r="J113" s="36" t="s">
        <v>90</v>
      </c>
      <c r="K113" s="71">
        <v>14775</v>
      </c>
      <c r="L113" s="68" t="s">
        <v>175</v>
      </c>
      <c r="M113" s="31">
        <f>IF(F113="electricity",0,VLOOKUP(L113,PL!H:L,2,FALSE))</f>
        <v>6726</v>
      </c>
      <c r="N113" s="31">
        <f>IF(F113="electricity",VLOOKUP(L113,PL!H:L,3,FALSE),0)</f>
        <v>0</v>
      </c>
      <c r="O113" s="31">
        <f>IF(F113="electricity",0,VLOOKUP(L113,PL!H:L,4,FALSE))</f>
        <v>6184</v>
      </c>
      <c r="P113" s="31">
        <f>IF(F113="electricity",VLOOKUP(L113,PL!H:L,5,FALSE),0)</f>
        <v>0</v>
      </c>
      <c r="Q113" s="30">
        <f t="shared" ref="Q113:Q115" si="69">IFERROR(O113/M113,0)</f>
        <v>0.91941718703538511</v>
      </c>
      <c r="R113" s="30">
        <f t="shared" ref="R113:R115" si="70">IFERROR(P113/N113,0)</f>
        <v>0</v>
      </c>
      <c r="S113" s="71">
        <f>VLOOKUP(E113,PL!A:C,3,FALSE)</f>
        <v>0.9</v>
      </c>
      <c r="T113" s="31">
        <f t="shared" ref="T113:T115" si="71">H113*S113</f>
        <v>3848028.5998595608</v>
      </c>
      <c r="U113" s="31">
        <f t="shared" ref="U113:U115" si="72">H113*(1-S113)</f>
        <v>427558.73331772891</v>
      </c>
      <c r="V113" s="31">
        <f t="shared" ref="V113:V115" si="73">IF(Q113=0,(T113*R113)+U113,(T113*Q113)+U113)</f>
        <v>3965502.364232318</v>
      </c>
      <c r="W113" s="71">
        <f t="shared" si="30"/>
        <v>91.333333330000002</v>
      </c>
      <c r="X113" s="69" t="s">
        <v>131</v>
      </c>
      <c r="Y113" s="69" t="str">
        <f t="shared" si="64"/>
        <v>UMass Amherst (Propane for Buildings)</v>
      </c>
      <c r="Z113" s="74">
        <f t="shared" si="65"/>
        <v>427.55873331772892</v>
      </c>
      <c r="AA113" s="74">
        <f t="shared" si="66"/>
        <v>3965.5023642323181</v>
      </c>
      <c r="AB113" s="69" t="str">
        <f t="shared" si="67"/>
        <v>UMass Amherst</v>
      </c>
      <c r="AC113" s="69" t="str">
        <f t="shared" si="68"/>
        <v>Propane for Buildings</v>
      </c>
      <c r="AD113" s="69" t="str">
        <f>VLOOKUP(AC113,PL!A:B,2,FALSE)</f>
        <v>Heating Oils</v>
      </c>
    </row>
    <row r="114" spans="1:30" x14ac:dyDescent="0.25">
      <c r="A114" s="75">
        <v>2014</v>
      </c>
      <c r="B114" s="36" t="s">
        <v>15</v>
      </c>
      <c r="C114" s="71" t="s">
        <v>16</v>
      </c>
      <c r="D114" s="36" t="s">
        <v>21</v>
      </c>
      <c r="E114" s="21" t="s">
        <v>35</v>
      </c>
      <c r="F114" s="36" t="s">
        <v>36</v>
      </c>
      <c r="G114" s="54">
        <v>40827.4</v>
      </c>
      <c r="H114" s="54">
        <v>3728902.5331972423</v>
      </c>
      <c r="I114" s="55">
        <v>92341.23</v>
      </c>
      <c r="J114" s="36" t="s">
        <v>90</v>
      </c>
      <c r="K114" s="71">
        <v>14775</v>
      </c>
      <c r="L114" s="68" t="s">
        <v>174</v>
      </c>
      <c r="M114" s="31">
        <f>IF(F114="electricity",0,VLOOKUP(L114,PL!H:L,2,FALSE))</f>
        <v>6666</v>
      </c>
      <c r="N114" s="31">
        <f>IF(F114="electricity",VLOOKUP(L114,PL!H:L,3,FALSE),0)</f>
        <v>0</v>
      </c>
      <c r="O114" s="31">
        <f>IF(F114="electricity",0,VLOOKUP(L114,PL!H:L,4,FALSE))</f>
        <v>6184</v>
      </c>
      <c r="P114" s="31">
        <f>IF(F114="electricity",VLOOKUP(L114,PL!H:L,5,FALSE),0)</f>
        <v>0</v>
      </c>
      <c r="Q114" s="30">
        <f t="shared" si="69"/>
        <v>0.92769276927692768</v>
      </c>
      <c r="R114" s="30">
        <f t="shared" si="70"/>
        <v>0</v>
      </c>
      <c r="S114" s="71">
        <f>VLOOKUP(E114,PL!A:C,3,FALSE)</f>
        <v>0.9</v>
      </c>
      <c r="T114" s="31">
        <f t="shared" si="71"/>
        <v>3356012.2798775183</v>
      </c>
      <c r="U114" s="31">
        <f t="shared" si="72"/>
        <v>372890.25331972417</v>
      </c>
      <c r="V114" s="31">
        <f t="shared" si="73"/>
        <v>3486238.5789666744</v>
      </c>
      <c r="W114" s="71">
        <f t="shared" si="30"/>
        <v>91.333333330000002</v>
      </c>
      <c r="X114" s="69" t="s">
        <v>131</v>
      </c>
      <c r="Y114" s="69" t="str">
        <f t="shared" si="64"/>
        <v>UMass Amherst (Propane for Buildings)</v>
      </c>
      <c r="Z114" s="74">
        <f t="shared" si="65"/>
        <v>372.8902533197242</v>
      </c>
      <c r="AA114" s="74">
        <f t="shared" si="66"/>
        <v>3486.2385789666746</v>
      </c>
      <c r="AB114" s="69" t="str">
        <f t="shared" si="67"/>
        <v>UMass Amherst</v>
      </c>
      <c r="AC114" s="69" t="str">
        <f t="shared" si="68"/>
        <v>Propane for Buildings</v>
      </c>
      <c r="AD114" s="69" t="str">
        <f>VLOOKUP(AC114,PL!A:B,2,FALSE)</f>
        <v>Heating Oils</v>
      </c>
    </row>
    <row r="115" spans="1:30" x14ac:dyDescent="0.25">
      <c r="A115" s="75">
        <v>2016</v>
      </c>
      <c r="B115" s="36" t="s">
        <v>15</v>
      </c>
      <c r="C115" s="71" t="s">
        <v>16</v>
      </c>
      <c r="D115" s="36" t="s">
        <v>21</v>
      </c>
      <c r="E115" s="21" t="s">
        <v>35</v>
      </c>
      <c r="F115" s="36" t="s">
        <v>36</v>
      </c>
      <c r="G115" s="54">
        <v>31092.400000000001</v>
      </c>
      <c r="H115" s="54">
        <v>2839772.53322969</v>
      </c>
      <c r="I115" s="55">
        <v>72116.75</v>
      </c>
      <c r="J115" s="36" t="s">
        <v>90</v>
      </c>
      <c r="K115" s="71">
        <v>14775</v>
      </c>
      <c r="L115" s="68" t="s">
        <v>176</v>
      </c>
      <c r="M115" s="31">
        <f>IF(F115="electricity",0,VLOOKUP(L115,PL!H:L,2,FALSE))</f>
        <v>5427</v>
      </c>
      <c r="N115" s="31">
        <f>IF(F115="electricity",VLOOKUP(L115,PL!H:L,3,FALSE),0)</f>
        <v>0</v>
      </c>
      <c r="O115" s="31">
        <f>IF(F115="electricity",0,VLOOKUP(L115,PL!H:L,4,FALSE))</f>
        <v>6184</v>
      </c>
      <c r="P115" s="31">
        <f>IF(F115="electricity",VLOOKUP(L115,PL!H:L,5,FALSE),0)</f>
        <v>0</v>
      </c>
      <c r="Q115" s="30">
        <f t="shared" si="69"/>
        <v>1.1394877464529205</v>
      </c>
      <c r="R115" s="30">
        <f t="shared" si="70"/>
        <v>0</v>
      </c>
      <c r="S115" s="71">
        <f>VLOOKUP(E115,PL!A:C,3,FALSE)</f>
        <v>0.9</v>
      </c>
      <c r="T115" s="31">
        <f t="shared" si="71"/>
        <v>2555795.2799067213</v>
      </c>
      <c r="U115" s="31">
        <f t="shared" si="72"/>
        <v>283977.25332296896</v>
      </c>
      <c r="V115" s="31">
        <f t="shared" si="73"/>
        <v>3196274.6572188903</v>
      </c>
      <c r="W115" s="71">
        <f t="shared" si="30"/>
        <v>91.333333329999931</v>
      </c>
      <c r="X115" s="69" t="s">
        <v>131</v>
      </c>
      <c r="Y115" s="69" t="str">
        <f t="shared" si="64"/>
        <v>UMass Amherst (Propane for Buildings)</v>
      </c>
      <c r="Z115" s="74">
        <f t="shared" si="65"/>
        <v>283.97725332296898</v>
      </c>
      <c r="AA115" s="74">
        <f t="shared" si="66"/>
        <v>3196.2746572188903</v>
      </c>
      <c r="AB115" s="69" t="str">
        <f t="shared" si="67"/>
        <v>UMass Amherst</v>
      </c>
      <c r="AC115" s="69" t="str">
        <f t="shared" si="68"/>
        <v>Propane for Buildings</v>
      </c>
      <c r="AD115" s="69" t="str">
        <f>VLOOKUP(AC115,PL!A:B,2,FALSE)</f>
        <v>Heating Oils</v>
      </c>
    </row>
    <row r="116" spans="1:30" x14ac:dyDescent="0.25">
      <c r="A116" s="75">
        <v>2009</v>
      </c>
      <c r="B116" s="36" t="s">
        <v>15</v>
      </c>
      <c r="C116" s="71" t="s">
        <v>16</v>
      </c>
      <c r="D116" s="36" t="s">
        <v>21</v>
      </c>
      <c r="E116" s="71" t="s">
        <v>123</v>
      </c>
      <c r="F116" s="36" t="s">
        <v>30</v>
      </c>
      <c r="G116" s="54">
        <v>909844.03025642224</v>
      </c>
      <c r="H116" s="54">
        <v>126186701.82399042</v>
      </c>
      <c r="I116" s="55">
        <v>2038596.9525507479</v>
      </c>
      <c r="J116" s="36" t="s">
        <v>90</v>
      </c>
      <c r="K116" s="71">
        <v>14775</v>
      </c>
      <c r="L116" s="71" t="s">
        <v>158</v>
      </c>
      <c r="M116" s="31">
        <f>IF(F116="electricity",0,VLOOKUP(L116,PL!H:L,2,FALSE))</f>
        <v>0</v>
      </c>
      <c r="N116" s="31">
        <f>IF(F116="electricity",VLOOKUP(L116,PL!H:L,3,FALSE),0)</f>
        <v>546</v>
      </c>
      <c r="O116" s="31">
        <f>IF(F116="electricity",0,VLOOKUP(L116,PL!H:L,4,FALSE))</f>
        <v>0</v>
      </c>
      <c r="P116" s="31">
        <f>IF(F116="electricity",VLOOKUP(L116,PL!H:L,5,FALSE),0)</f>
        <v>695</v>
      </c>
      <c r="Q116" s="30">
        <f t="shared" ref="Q116:Q125" si="74">IFERROR(O116/M116,0)</f>
        <v>0</v>
      </c>
      <c r="R116" s="30">
        <f t="shared" ref="R116:R125" si="75">IFERROR(P116/N116,0)</f>
        <v>1.2728937728937728</v>
      </c>
      <c r="S116" s="71">
        <f>VLOOKUP(E116,PL!A:C,3,FALSE)</f>
        <v>0.05</v>
      </c>
      <c r="T116" s="31">
        <f t="shared" ref="T116:T125" si="76">H116*S116</f>
        <v>6309335.091199521</v>
      </c>
      <c r="U116" s="31">
        <f t="shared" ref="U116:U125" si="77">H116*(1-S116)</f>
        <v>119877366.73279089</v>
      </c>
      <c r="V116" s="31">
        <f t="shared" ref="V116:V125" si="78">IF(Q116=0,(T116*R116)+U116,(T116*Q116)+U116)</f>
        <v>127908480.08147892</v>
      </c>
      <c r="W116" s="71"/>
      <c r="X116" s="69"/>
      <c r="Y116" s="69"/>
      <c r="Z116" s="74"/>
      <c r="AA116" s="74"/>
      <c r="AB116" s="69"/>
      <c r="AC116" s="69"/>
      <c r="AD116" s="69"/>
    </row>
    <row r="117" spans="1:30" x14ac:dyDescent="0.25">
      <c r="A117" s="75">
        <v>2010</v>
      </c>
      <c r="B117" s="36" t="s">
        <v>15</v>
      </c>
      <c r="C117" s="71" t="s">
        <v>16</v>
      </c>
      <c r="D117" s="36" t="s">
        <v>21</v>
      </c>
      <c r="E117" s="71" t="s">
        <v>123</v>
      </c>
      <c r="F117" s="36" t="s">
        <v>30</v>
      </c>
      <c r="G117" s="54">
        <v>749651.73999999987</v>
      </c>
      <c r="H117" s="54">
        <v>103969556.80475858</v>
      </c>
      <c r="I117" s="55">
        <v>1760104.1659599608</v>
      </c>
      <c r="J117" s="36" t="s">
        <v>90</v>
      </c>
      <c r="K117" s="71">
        <v>14775</v>
      </c>
      <c r="L117" s="71" t="s">
        <v>159</v>
      </c>
      <c r="M117" s="31">
        <f>IF(F117="electricity",0,VLOOKUP(L117,PL!H:L,2,FALSE))</f>
        <v>0</v>
      </c>
      <c r="N117" s="31">
        <f>IF(F117="electricity",VLOOKUP(L117,PL!H:L,3,FALSE),0)</f>
        <v>622</v>
      </c>
      <c r="O117" s="31">
        <f>IF(F117="electricity",0,VLOOKUP(L117,PL!H:L,4,FALSE))</f>
        <v>0</v>
      </c>
      <c r="P117" s="31">
        <f>IF(F117="electricity",VLOOKUP(L117,PL!H:L,5,FALSE),0)</f>
        <v>695</v>
      </c>
      <c r="Q117" s="30">
        <f t="shared" si="74"/>
        <v>0</v>
      </c>
      <c r="R117" s="30">
        <f t="shared" si="75"/>
        <v>1.117363344051447</v>
      </c>
      <c r="S117" s="71">
        <f>VLOOKUP(E117,PL!A:C,3,FALSE)</f>
        <v>0.05</v>
      </c>
      <c r="T117" s="31">
        <f t="shared" si="76"/>
        <v>5198477.8402379295</v>
      </c>
      <c r="U117" s="31">
        <f t="shared" si="77"/>
        <v>98771078.964520648</v>
      </c>
      <c r="V117" s="31">
        <f t="shared" si="78"/>
        <v>104579667.54806624</v>
      </c>
      <c r="W117" s="71"/>
      <c r="X117" s="69"/>
      <c r="Y117" s="69"/>
      <c r="Z117" s="74"/>
      <c r="AA117" s="74"/>
      <c r="AB117" s="69"/>
      <c r="AC117" s="69"/>
      <c r="AD117" s="69"/>
    </row>
    <row r="118" spans="1:30" x14ac:dyDescent="0.25">
      <c r="A118" s="75">
        <v>2011</v>
      </c>
      <c r="B118" s="36" t="s">
        <v>15</v>
      </c>
      <c r="C118" s="71" t="s">
        <v>16</v>
      </c>
      <c r="D118" s="36" t="s">
        <v>21</v>
      </c>
      <c r="E118" s="71" t="s">
        <v>123</v>
      </c>
      <c r="F118" s="36" t="s">
        <v>30</v>
      </c>
      <c r="G118" s="54">
        <v>897728.35</v>
      </c>
      <c r="H118" s="54">
        <v>124506372.35974027</v>
      </c>
      <c r="I118" s="55">
        <v>1970286.929787118</v>
      </c>
      <c r="J118" s="36" t="s">
        <v>90</v>
      </c>
      <c r="K118" s="71">
        <v>14775</v>
      </c>
      <c r="L118" s="71" t="s">
        <v>160</v>
      </c>
      <c r="M118" s="31">
        <f>IF(F118="electricity",0,VLOOKUP(L118,PL!H:L,2,FALSE))</f>
        <v>0</v>
      </c>
      <c r="N118" s="31">
        <f>IF(F118="electricity",VLOOKUP(L118,PL!H:L,3,FALSE),0)</f>
        <v>921</v>
      </c>
      <c r="O118" s="31">
        <f>IF(F118="electricity",0,VLOOKUP(L118,PL!H:L,4,FALSE))</f>
        <v>0</v>
      </c>
      <c r="P118" s="31">
        <f>IF(F118="electricity",VLOOKUP(L118,PL!H:L,5,FALSE),0)</f>
        <v>695</v>
      </c>
      <c r="Q118" s="30">
        <f t="shared" si="74"/>
        <v>0</v>
      </c>
      <c r="R118" s="30">
        <f t="shared" si="75"/>
        <v>0.75461454940282302</v>
      </c>
      <c r="S118" s="71">
        <f>VLOOKUP(E118,PL!A:C,3,FALSE)</f>
        <v>0.05</v>
      </c>
      <c r="T118" s="31">
        <f t="shared" si="76"/>
        <v>6225318.6179870144</v>
      </c>
      <c r="U118" s="31">
        <f t="shared" si="77"/>
        <v>118281053.74175325</v>
      </c>
      <c r="V118" s="31">
        <f t="shared" si="78"/>
        <v>122978769.74555452</v>
      </c>
      <c r="W118" s="71"/>
      <c r="X118" s="69"/>
      <c r="Y118" s="69"/>
      <c r="Z118" s="74"/>
      <c r="AA118" s="74"/>
      <c r="AB118" s="69"/>
      <c r="AC118" s="69"/>
      <c r="AD118" s="69"/>
    </row>
    <row r="119" spans="1:30" x14ac:dyDescent="0.25">
      <c r="A119" s="75">
        <v>2012</v>
      </c>
      <c r="B119" s="36" t="s">
        <v>15</v>
      </c>
      <c r="C119" s="71" t="s">
        <v>16</v>
      </c>
      <c r="D119" s="36" t="s">
        <v>21</v>
      </c>
      <c r="E119" s="71" t="s">
        <v>123</v>
      </c>
      <c r="F119" s="36" t="s">
        <v>30</v>
      </c>
      <c r="G119" s="54">
        <v>347794.67999999993</v>
      </c>
      <c r="H119" s="54">
        <v>48235809.789026611</v>
      </c>
      <c r="I119" s="55">
        <v>1415441.0042229993</v>
      </c>
      <c r="J119" s="36" t="s">
        <v>90</v>
      </c>
      <c r="K119" s="71">
        <v>14775</v>
      </c>
      <c r="L119" s="71" t="s">
        <v>161</v>
      </c>
      <c r="M119" s="31">
        <f>IF(F119="electricity",0,VLOOKUP(L119,PL!H:L,2,FALSE))</f>
        <v>0</v>
      </c>
      <c r="N119" s="31">
        <f>IF(F119="electricity",VLOOKUP(L119,PL!H:L,3,FALSE),0)</f>
        <v>853</v>
      </c>
      <c r="O119" s="31">
        <f>IF(F119="electricity",0,VLOOKUP(L119,PL!H:L,4,FALSE))</f>
        <v>0</v>
      </c>
      <c r="P119" s="31">
        <f>IF(F119="electricity",VLOOKUP(L119,PL!H:L,5,FALSE),0)</f>
        <v>695</v>
      </c>
      <c r="Q119" s="30">
        <f t="shared" si="74"/>
        <v>0</v>
      </c>
      <c r="R119" s="30">
        <f t="shared" si="75"/>
        <v>0.81477139507620167</v>
      </c>
      <c r="S119" s="71">
        <f>VLOOKUP(E119,PL!A:C,3,FALSE)</f>
        <v>0.05</v>
      </c>
      <c r="T119" s="31">
        <f t="shared" si="76"/>
        <v>2411790.4894513306</v>
      </c>
      <c r="U119" s="31">
        <f t="shared" si="77"/>
        <v>45824019.299575277</v>
      </c>
      <c r="V119" s="31">
        <f t="shared" si="78"/>
        <v>47789077.201297052</v>
      </c>
      <c r="W119" s="71"/>
      <c r="X119" s="69"/>
      <c r="Y119" s="69"/>
      <c r="Z119" s="74"/>
      <c r="AA119" s="74"/>
      <c r="AB119" s="69"/>
      <c r="AC119" s="69"/>
      <c r="AD119" s="69"/>
    </row>
    <row r="120" spans="1:30" x14ac:dyDescent="0.25">
      <c r="A120" s="75">
        <v>2013</v>
      </c>
      <c r="B120" s="36" t="s">
        <v>15</v>
      </c>
      <c r="C120" s="71" t="s">
        <v>16</v>
      </c>
      <c r="D120" s="36" t="s">
        <v>21</v>
      </c>
      <c r="E120" s="71" t="s">
        <v>123</v>
      </c>
      <c r="F120" s="36" t="s">
        <v>30</v>
      </c>
      <c r="G120" s="54">
        <v>163645.54999999999</v>
      </c>
      <c r="H120" s="54">
        <v>22696079.257510908</v>
      </c>
      <c r="I120" s="55">
        <v>496149.85849719238</v>
      </c>
      <c r="J120" s="36" t="s">
        <v>90</v>
      </c>
      <c r="K120" s="71">
        <v>14775</v>
      </c>
      <c r="L120" s="71" t="s">
        <v>162</v>
      </c>
      <c r="M120" s="31">
        <f>IF(F120="electricity",0,VLOOKUP(L120,PL!H:L,2,FALSE))</f>
        <v>0</v>
      </c>
      <c r="N120" s="31">
        <f>IF(F120="electricity",VLOOKUP(L120,PL!H:L,3,FALSE),0)</f>
        <v>942</v>
      </c>
      <c r="O120" s="31">
        <f>IF(F120="electricity",0,VLOOKUP(L120,PL!H:L,4,FALSE))</f>
        <v>0</v>
      </c>
      <c r="P120" s="31">
        <f>IF(F120="electricity",VLOOKUP(L120,PL!H:L,5,FALSE),0)</f>
        <v>695</v>
      </c>
      <c r="Q120" s="30">
        <f t="shared" si="74"/>
        <v>0</v>
      </c>
      <c r="R120" s="30">
        <f t="shared" si="75"/>
        <v>0.73779193205944793</v>
      </c>
      <c r="S120" s="71">
        <f>VLOOKUP(E120,PL!A:C,3,FALSE)</f>
        <v>0.05</v>
      </c>
      <c r="T120" s="31">
        <f t="shared" si="76"/>
        <v>1134803.9628755455</v>
      </c>
      <c r="U120" s="31">
        <f t="shared" si="77"/>
        <v>21561275.294635363</v>
      </c>
      <c r="V120" s="31">
        <f t="shared" si="78"/>
        <v>22398524.50291403</v>
      </c>
      <c r="W120" s="71"/>
      <c r="X120" s="69"/>
      <c r="Y120" s="69"/>
      <c r="Z120" s="74"/>
      <c r="AA120" s="74"/>
      <c r="AB120" s="69"/>
      <c r="AC120" s="69"/>
      <c r="AD120" s="69"/>
    </row>
    <row r="121" spans="1:30" x14ac:dyDescent="0.25">
      <c r="A121" s="75">
        <v>2009</v>
      </c>
      <c r="B121" s="36" t="s">
        <v>15</v>
      </c>
      <c r="C121" s="71" t="s">
        <v>16</v>
      </c>
      <c r="D121" s="36" t="s">
        <v>21</v>
      </c>
      <c r="E121" s="21" t="s">
        <v>124</v>
      </c>
      <c r="F121" s="36" t="s">
        <v>31</v>
      </c>
      <c r="G121" s="54">
        <v>2227549.1775243441</v>
      </c>
      <c r="H121" s="54">
        <v>308939856.18976963</v>
      </c>
      <c r="I121" s="55">
        <v>4991047.7114173481</v>
      </c>
      <c r="J121" s="36" t="s">
        <v>90</v>
      </c>
      <c r="K121" s="71">
        <v>14775</v>
      </c>
      <c r="L121" s="71" t="s">
        <v>158</v>
      </c>
      <c r="M121" s="31">
        <f>IF(F121="electricity",0,VLOOKUP(L121,PL!H:L,2,FALSE))</f>
        <v>6513</v>
      </c>
      <c r="N121" s="31">
        <f>IF(F121="electricity",VLOOKUP(L121,PL!H:L,3,FALSE),0)</f>
        <v>0</v>
      </c>
      <c r="O121" s="31">
        <f>IF(F121="electricity",0,VLOOKUP(L121,PL!H:L,4,FALSE))</f>
        <v>6184</v>
      </c>
      <c r="P121" s="31">
        <f>IF(F121="electricity",VLOOKUP(L121,PL!H:L,5,FALSE),0)</f>
        <v>0</v>
      </c>
      <c r="Q121" s="30">
        <f t="shared" si="74"/>
        <v>0.94948564409642255</v>
      </c>
      <c r="R121" s="30">
        <f t="shared" si="75"/>
        <v>0</v>
      </c>
      <c r="S121" s="71">
        <f>VLOOKUP(E121,PL!A:C,3,FALSE)</f>
        <v>0.5</v>
      </c>
      <c r="T121" s="31">
        <f t="shared" si="76"/>
        <v>154469928.09488481</v>
      </c>
      <c r="U121" s="31">
        <f t="shared" si="77"/>
        <v>154469928.09488481</v>
      </c>
      <c r="V121" s="31">
        <f t="shared" si="78"/>
        <v>301136907.26558459</v>
      </c>
      <c r="W121" s="71"/>
      <c r="X121" s="69"/>
      <c r="Y121" s="69"/>
      <c r="Z121" s="74"/>
      <c r="AA121" s="74"/>
      <c r="AB121" s="69"/>
      <c r="AC121" s="69"/>
      <c r="AD121" s="69"/>
    </row>
    <row r="122" spans="1:30" x14ac:dyDescent="0.25">
      <c r="A122" s="75">
        <v>2010</v>
      </c>
      <c r="B122" s="36" t="s">
        <v>15</v>
      </c>
      <c r="C122" s="71" t="s">
        <v>16</v>
      </c>
      <c r="D122" s="36" t="s">
        <v>21</v>
      </c>
      <c r="E122" s="21" t="s">
        <v>124</v>
      </c>
      <c r="F122" s="36" t="s">
        <v>31</v>
      </c>
      <c r="G122" s="54">
        <v>1835354.2599999998</v>
      </c>
      <c r="H122" s="54">
        <v>254546156.31509858</v>
      </c>
      <c r="I122" s="55">
        <v>4309220.5442468002</v>
      </c>
      <c r="J122" s="36" t="s">
        <v>90</v>
      </c>
      <c r="K122" s="71">
        <v>14775</v>
      </c>
      <c r="L122" s="71" t="s">
        <v>159</v>
      </c>
      <c r="M122" s="31">
        <f>IF(F122="electricity",0,VLOOKUP(L122,PL!H:L,2,FALSE))</f>
        <v>5785</v>
      </c>
      <c r="N122" s="31">
        <f>IF(F122="electricity",VLOOKUP(L122,PL!H:L,3,FALSE),0)</f>
        <v>0</v>
      </c>
      <c r="O122" s="31">
        <f>IF(F122="electricity",0,VLOOKUP(L122,PL!H:L,4,FALSE))</f>
        <v>6184</v>
      </c>
      <c r="P122" s="31">
        <f>IF(F122="electricity",VLOOKUP(L122,PL!H:L,5,FALSE),0)</f>
        <v>0</v>
      </c>
      <c r="Q122" s="30">
        <f t="shared" si="74"/>
        <v>1.0689714779602419</v>
      </c>
      <c r="R122" s="30">
        <f t="shared" si="75"/>
        <v>0</v>
      </c>
      <c r="S122" s="71">
        <f>VLOOKUP(E122,PL!A:C,3,FALSE)</f>
        <v>0.5</v>
      </c>
      <c r="T122" s="31">
        <f t="shared" si="76"/>
        <v>127273078.15754929</v>
      </c>
      <c r="U122" s="31">
        <f t="shared" si="77"/>
        <v>127273078.15754929</v>
      </c>
      <c r="V122" s="31">
        <f t="shared" si="78"/>
        <v>263324368.62017414</v>
      </c>
      <c r="W122" s="71"/>
      <c r="X122" s="69"/>
      <c r="Y122" s="69"/>
      <c r="Z122" s="74"/>
      <c r="AA122" s="74"/>
      <c r="AB122" s="69"/>
      <c r="AC122" s="69"/>
      <c r="AD122" s="69"/>
    </row>
    <row r="123" spans="1:30" x14ac:dyDescent="0.25">
      <c r="A123" s="75">
        <v>2011</v>
      </c>
      <c r="B123" s="36" t="s">
        <v>15</v>
      </c>
      <c r="C123" s="71" t="s">
        <v>16</v>
      </c>
      <c r="D123" s="36" t="s">
        <v>21</v>
      </c>
      <c r="E123" s="21" t="s">
        <v>124</v>
      </c>
      <c r="F123" s="36" t="s">
        <v>31</v>
      </c>
      <c r="G123" s="54">
        <v>2197886.65</v>
      </c>
      <c r="H123" s="54">
        <v>304825946.1221227</v>
      </c>
      <c r="I123" s="55">
        <v>4823805.9315477712</v>
      </c>
      <c r="J123" s="36" t="s">
        <v>90</v>
      </c>
      <c r="K123" s="71">
        <v>14775</v>
      </c>
      <c r="L123" s="71" t="s">
        <v>160</v>
      </c>
      <c r="M123" s="31">
        <f>IF(F123="electricity",0,VLOOKUP(L123,PL!H:L,2,FALSE))</f>
        <v>6270</v>
      </c>
      <c r="N123" s="31">
        <f>IF(F123="electricity",VLOOKUP(L123,PL!H:L,3,FALSE),0)</f>
        <v>0</v>
      </c>
      <c r="O123" s="31">
        <f>IF(F123="electricity",0,VLOOKUP(L123,PL!H:L,4,FALSE))</f>
        <v>6184</v>
      </c>
      <c r="P123" s="31">
        <f>IF(F123="electricity",VLOOKUP(L123,PL!H:L,5,FALSE),0)</f>
        <v>0</v>
      </c>
      <c r="Q123" s="30">
        <f t="shared" si="74"/>
        <v>0.98628389154704943</v>
      </c>
      <c r="R123" s="30">
        <f t="shared" si="75"/>
        <v>0</v>
      </c>
      <c r="S123" s="71">
        <f>VLOOKUP(E123,PL!A:C,3,FALSE)</f>
        <v>0.5</v>
      </c>
      <c r="T123" s="31">
        <f t="shared" si="76"/>
        <v>152412973.06106135</v>
      </c>
      <c r="U123" s="31">
        <f t="shared" si="77"/>
        <v>152412973.06106135</v>
      </c>
      <c r="V123" s="31">
        <f t="shared" si="78"/>
        <v>302735433.25398052</v>
      </c>
      <c r="W123" s="71"/>
      <c r="X123" s="69"/>
      <c r="Y123" s="69"/>
      <c r="Z123" s="74"/>
      <c r="AA123" s="74"/>
      <c r="AB123" s="69"/>
      <c r="AC123" s="69"/>
      <c r="AD123" s="69"/>
    </row>
    <row r="124" spans="1:30" x14ac:dyDescent="0.25">
      <c r="A124" s="75">
        <v>2012</v>
      </c>
      <c r="B124" s="36" t="s">
        <v>15</v>
      </c>
      <c r="C124" s="71" t="s">
        <v>16</v>
      </c>
      <c r="D124" s="36" t="s">
        <v>21</v>
      </c>
      <c r="E124" s="21" t="s">
        <v>124</v>
      </c>
      <c r="F124" s="36" t="s">
        <v>31</v>
      </c>
      <c r="G124" s="54">
        <v>851497.32</v>
      </c>
      <c r="H124" s="54">
        <v>118094568.79382378</v>
      </c>
      <c r="I124" s="55">
        <v>3465390.0448218263</v>
      </c>
      <c r="J124" s="36" t="s">
        <v>90</v>
      </c>
      <c r="K124" s="71">
        <v>14775</v>
      </c>
      <c r="L124" s="71" t="s">
        <v>161</v>
      </c>
      <c r="M124" s="31">
        <f>IF(F124="electricity",0,VLOOKUP(L124,PL!H:L,2,FALSE))</f>
        <v>4908</v>
      </c>
      <c r="N124" s="31">
        <f>IF(F124="electricity",VLOOKUP(L124,PL!H:L,3,FALSE),0)</f>
        <v>0</v>
      </c>
      <c r="O124" s="31">
        <f>IF(F124="electricity",0,VLOOKUP(L124,PL!H:L,4,FALSE))</f>
        <v>6184</v>
      </c>
      <c r="P124" s="31">
        <f>IF(F124="electricity",VLOOKUP(L124,PL!H:L,5,FALSE),0)</f>
        <v>0</v>
      </c>
      <c r="Q124" s="30">
        <f t="shared" si="74"/>
        <v>1.2599837000814995</v>
      </c>
      <c r="R124" s="30">
        <f t="shared" si="75"/>
        <v>0</v>
      </c>
      <c r="S124" s="71">
        <f>VLOOKUP(E124,PL!A:C,3,FALSE)</f>
        <v>0.5</v>
      </c>
      <c r="T124" s="31">
        <f t="shared" si="76"/>
        <v>59047284.396911889</v>
      </c>
      <c r="U124" s="31">
        <f t="shared" si="77"/>
        <v>59047284.396911889</v>
      </c>
      <c r="V124" s="31">
        <f t="shared" si="78"/>
        <v>133445900.27109753</v>
      </c>
      <c r="W124" s="71"/>
      <c r="X124" s="69"/>
      <c r="Y124" s="69"/>
      <c r="Z124" s="74"/>
      <c r="AA124" s="74"/>
      <c r="AB124" s="69"/>
      <c r="AC124" s="69"/>
      <c r="AD124" s="69"/>
    </row>
    <row r="125" spans="1:30" x14ac:dyDescent="0.25">
      <c r="A125" s="75">
        <v>2013</v>
      </c>
      <c r="B125" s="36" t="s">
        <v>15</v>
      </c>
      <c r="C125" s="71" t="s">
        <v>16</v>
      </c>
      <c r="D125" s="36" t="s">
        <v>21</v>
      </c>
      <c r="E125" s="21" t="s">
        <v>124</v>
      </c>
      <c r="F125" s="36" t="s">
        <v>31</v>
      </c>
      <c r="G125" s="54">
        <v>400649.44999999995</v>
      </c>
      <c r="H125" s="54">
        <v>55566263.009768084</v>
      </c>
      <c r="I125" s="55">
        <v>1214711.7225276087</v>
      </c>
      <c r="J125" s="36" t="s">
        <v>90</v>
      </c>
      <c r="K125" s="71">
        <v>14775</v>
      </c>
      <c r="L125" s="71" t="s">
        <v>162</v>
      </c>
      <c r="M125" s="31">
        <f>IF(F125="electricity",0,VLOOKUP(L125,PL!H:L,2,FALSE))</f>
        <v>6410</v>
      </c>
      <c r="N125" s="31">
        <f>IF(F125="electricity",VLOOKUP(L125,PL!H:L,3,FALSE),0)</f>
        <v>0</v>
      </c>
      <c r="O125" s="31">
        <f>IF(F125="electricity",0,VLOOKUP(L125,PL!H:L,4,FALSE))</f>
        <v>6184</v>
      </c>
      <c r="P125" s="31">
        <f>IF(F125="electricity",VLOOKUP(L125,PL!H:L,5,FALSE),0)</f>
        <v>0</v>
      </c>
      <c r="Q125" s="30">
        <f t="shared" si="74"/>
        <v>0.96474258970358817</v>
      </c>
      <c r="R125" s="30">
        <f t="shared" si="75"/>
        <v>0</v>
      </c>
      <c r="S125" s="71">
        <f>VLOOKUP(E125,PL!A:C,3,FALSE)</f>
        <v>0.5</v>
      </c>
      <c r="T125" s="31">
        <f t="shared" si="76"/>
        <v>27783131.504884042</v>
      </c>
      <c r="U125" s="31">
        <f t="shared" si="77"/>
        <v>27783131.504884042</v>
      </c>
      <c r="V125" s="31">
        <f t="shared" si="78"/>
        <v>54586701.742981225</v>
      </c>
      <c r="W125" s="71"/>
      <c r="X125" s="69"/>
      <c r="Y125" s="69"/>
      <c r="Z125" s="74"/>
      <c r="AA125" s="74"/>
      <c r="AB125" s="69"/>
      <c r="AC125" s="69"/>
      <c r="AD125" s="69"/>
    </row>
    <row r="126" spans="1:30" x14ac:dyDescent="0.25">
      <c r="A126" s="75">
        <v>2014</v>
      </c>
      <c r="B126" s="89" t="s">
        <v>15</v>
      </c>
      <c r="C126" s="71" t="s">
        <v>16</v>
      </c>
      <c r="D126" s="89" t="s">
        <v>21</v>
      </c>
      <c r="E126" s="71" t="s">
        <v>119</v>
      </c>
      <c r="F126" s="89" t="s">
        <v>31</v>
      </c>
      <c r="G126" s="76">
        <v>12979805.033399999</v>
      </c>
      <c r="H126" s="76">
        <v>1297980503.3399999</v>
      </c>
      <c r="I126" s="81">
        <v>9587727.2296786141</v>
      </c>
      <c r="J126" s="89" t="s">
        <v>90</v>
      </c>
      <c r="K126" s="69">
        <v>14775</v>
      </c>
      <c r="L126" s="69" t="s">
        <v>174</v>
      </c>
      <c r="M126" s="73">
        <v>6666</v>
      </c>
      <c r="N126" s="73">
        <v>0</v>
      </c>
      <c r="O126" s="73">
        <v>6184</v>
      </c>
      <c r="P126" s="73">
        <v>0</v>
      </c>
      <c r="Q126" s="74">
        <v>0.92769276927692768</v>
      </c>
      <c r="R126" s="74">
        <v>0</v>
      </c>
      <c r="S126" s="74">
        <v>0.5</v>
      </c>
      <c r="T126" s="73">
        <v>648990251.66999996</v>
      </c>
      <c r="U126" s="73">
        <v>648990251.66999996</v>
      </c>
      <c r="V126" s="73">
        <v>1251053815.4754725</v>
      </c>
      <c r="W126" s="71">
        <f t="shared" ref="W126:W131" si="79">H126/G126</f>
        <v>100</v>
      </c>
      <c r="X126" s="69" t="s">
        <v>131</v>
      </c>
      <c r="Y126" s="69" t="str">
        <f t="shared" ref="Y126:Y131" si="80">C126 &amp;" ("&amp;E126&amp;")"</f>
        <v>UMass Amherst (NaturalGas -Natural Gas)</v>
      </c>
      <c r="Z126" s="74">
        <f t="shared" ref="Z126:Z131" si="81">U126/1000</f>
        <v>648990.25166999991</v>
      </c>
      <c r="AA126" s="74">
        <f t="shared" ref="AA126:AA131" si="82">V126/1000</f>
        <v>1251053.8154754725</v>
      </c>
      <c r="AB126" s="69" t="str">
        <f t="shared" ref="AB126:AB131" si="83">C126</f>
        <v>UMass Amherst</v>
      </c>
      <c r="AC126" s="69" t="str">
        <f t="shared" ref="AC126:AC131" si="84">E126</f>
        <v>NaturalGas -Natural Gas</v>
      </c>
      <c r="AD126" s="69" t="str">
        <f>VLOOKUP(AC126,PL!A:B,2,FALSE)</f>
        <v>NaturalGas</v>
      </c>
    </row>
    <row r="127" spans="1:30" x14ac:dyDescent="0.25">
      <c r="A127" s="75">
        <v>2014</v>
      </c>
      <c r="B127" s="89" t="s">
        <v>15</v>
      </c>
      <c r="C127" s="71" t="s">
        <v>16</v>
      </c>
      <c r="D127" s="89" t="s">
        <v>21</v>
      </c>
      <c r="E127" s="71" t="s">
        <v>120</v>
      </c>
      <c r="F127" s="89" t="s">
        <v>31</v>
      </c>
      <c r="G127" s="79">
        <v>5301610.5066</v>
      </c>
      <c r="H127" s="76">
        <v>530161050.65999997</v>
      </c>
      <c r="I127" s="81">
        <v>3916113.9388828147</v>
      </c>
      <c r="J127" s="89" t="s">
        <v>90</v>
      </c>
      <c r="K127" s="69">
        <v>14775</v>
      </c>
      <c r="L127" s="69" t="s">
        <v>174</v>
      </c>
      <c r="M127" s="73">
        <v>6666</v>
      </c>
      <c r="N127" s="73">
        <v>0</v>
      </c>
      <c r="O127" s="73">
        <v>6184</v>
      </c>
      <c r="P127" s="73">
        <v>0</v>
      </c>
      <c r="Q127" s="74">
        <v>0.92769276927692768</v>
      </c>
      <c r="R127" s="74">
        <v>0</v>
      </c>
      <c r="S127" s="74">
        <v>0.05</v>
      </c>
      <c r="T127" s="73">
        <v>26508052.533</v>
      </c>
      <c r="U127" s="73">
        <v>503652998.12699997</v>
      </c>
      <c r="V127" s="73">
        <v>528244326.78947699</v>
      </c>
      <c r="W127" s="71">
        <f t="shared" si="79"/>
        <v>100</v>
      </c>
      <c r="X127" s="69" t="s">
        <v>131</v>
      </c>
      <c r="Y127" s="69" t="str">
        <f t="shared" si="80"/>
        <v>UMass Amherst (NaturalGas -Electricity)</v>
      </c>
      <c r="Z127" s="74">
        <f t="shared" si="81"/>
        <v>503652.998127</v>
      </c>
      <c r="AA127" s="74">
        <f t="shared" si="82"/>
        <v>528244.32678947703</v>
      </c>
      <c r="AB127" s="69" t="str">
        <f t="shared" si="83"/>
        <v>UMass Amherst</v>
      </c>
      <c r="AC127" s="69" t="str">
        <f t="shared" si="84"/>
        <v>NaturalGas -Electricity</v>
      </c>
      <c r="AD127" s="69" t="str">
        <f>VLOOKUP(AC127,PL!A:B,2,FALSE)</f>
        <v>Electricity</v>
      </c>
    </row>
    <row r="128" spans="1:30" x14ac:dyDescent="0.25">
      <c r="A128" s="75">
        <v>2015</v>
      </c>
      <c r="B128" s="89" t="s">
        <v>15</v>
      </c>
      <c r="C128" s="71" t="s">
        <v>16</v>
      </c>
      <c r="D128" s="89" t="s">
        <v>21</v>
      </c>
      <c r="E128" s="71" t="s">
        <v>120</v>
      </c>
      <c r="F128" s="89" t="s">
        <v>31</v>
      </c>
      <c r="G128" s="80">
        <v>5598754.9494999992</v>
      </c>
      <c r="H128" s="76">
        <v>559875494.94999993</v>
      </c>
      <c r="I128" s="81">
        <v>4488843.2374434322</v>
      </c>
      <c r="J128" s="89" t="s">
        <v>90</v>
      </c>
      <c r="K128" s="69">
        <v>14775</v>
      </c>
      <c r="L128" s="69" t="s">
        <v>175</v>
      </c>
      <c r="M128" s="73">
        <v>6726</v>
      </c>
      <c r="N128" s="73">
        <v>0</v>
      </c>
      <c r="O128" s="73">
        <v>6184</v>
      </c>
      <c r="P128" s="73">
        <v>0</v>
      </c>
      <c r="Q128" s="74">
        <v>0.91941718703538511</v>
      </c>
      <c r="R128" s="74">
        <v>0</v>
      </c>
      <c r="S128" s="74">
        <v>0.05</v>
      </c>
      <c r="T128" s="73">
        <v>27993774.747499999</v>
      </c>
      <c r="U128" s="73">
        <v>531881720.20249993</v>
      </c>
      <c r="V128" s="73">
        <v>557619677.83534861</v>
      </c>
      <c r="W128" s="71">
        <f t="shared" si="79"/>
        <v>100</v>
      </c>
      <c r="X128" s="69" t="s">
        <v>131</v>
      </c>
      <c r="Y128" s="69" t="str">
        <f t="shared" si="80"/>
        <v>UMass Amherst (NaturalGas -Electricity)</v>
      </c>
      <c r="Z128" s="74">
        <f t="shared" si="81"/>
        <v>531881.72020249988</v>
      </c>
      <c r="AA128" s="74">
        <f t="shared" si="82"/>
        <v>557619.67783534864</v>
      </c>
      <c r="AB128" s="69" t="str">
        <f t="shared" si="83"/>
        <v>UMass Amherst</v>
      </c>
      <c r="AC128" s="69" t="str">
        <f t="shared" si="84"/>
        <v>NaturalGas -Electricity</v>
      </c>
      <c r="AD128" s="69" t="str">
        <f>VLOOKUP(AC128,PL!A:B,2,FALSE)</f>
        <v>Electricity</v>
      </c>
    </row>
    <row r="129" spans="1:30" x14ac:dyDescent="0.25">
      <c r="A129" s="75">
        <v>2016</v>
      </c>
      <c r="B129" s="89" t="s">
        <v>15</v>
      </c>
      <c r="C129" s="71" t="s">
        <v>16</v>
      </c>
      <c r="D129" s="89" t="s">
        <v>21</v>
      </c>
      <c r="E129" s="71" t="s">
        <v>120</v>
      </c>
      <c r="F129" s="89" t="s">
        <v>31</v>
      </c>
      <c r="G129" s="85">
        <v>5289563</v>
      </c>
      <c r="H129" s="86">
        <v>528956261.93000001</v>
      </c>
      <c r="I129" s="81">
        <v>4597903</v>
      </c>
      <c r="J129" s="89" t="s">
        <v>90</v>
      </c>
      <c r="K129" s="69">
        <v>14775</v>
      </c>
      <c r="L129" s="69" t="s">
        <v>176</v>
      </c>
      <c r="M129" s="73">
        <v>5427</v>
      </c>
      <c r="N129" s="73">
        <v>0</v>
      </c>
      <c r="O129" s="73">
        <v>6184</v>
      </c>
      <c r="P129" s="73">
        <v>0</v>
      </c>
      <c r="Q129" s="74">
        <v>1.1394877464529205</v>
      </c>
      <c r="R129" s="74">
        <v>0</v>
      </c>
      <c r="S129" s="74">
        <v>0.05</v>
      </c>
      <c r="T129" s="73">
        <v>26447813.096500002</v>
      </c>
      <c r="U129" s="73">
        <v>502508448.83349997</v>
      </c>
      <c r="V129" s="73">
        <v>532645407.77743882</v>
      </c>
      <c r="W129" s="71">
        <f t="shared" si="79"/>
        <v>99.999992802808094</v>
      </c>
      <c r="X129" s="69" t="s">
        <v>131</v>
      </c>
      <c r="Y129" s="69" t="str">
        <f t="shared" si="80"/>
        <v>UMass Amherst (NaturalGas -Electricity)</v>
      </c>
      <c r="Z129" s="74">
        <f t="shared" si="81"/>
        <v>502508.44883349998</v>
      </c>
      <c r="AA129" s="74">
        <f t="shared" si="82"/>
        <v>532645.40777743887</v>
      </c>
      <c r="AB129" s="69" t="str">
        <f t="shared" si="83"/>
        <v>UMass Amherst</v>
      </c>
      <c r="AC129" s="69" t="str">
        <f t="shared" si="84"/>
        <v>NaturalGas -Electricity</v>
      </c>
      <c r="AD129" s="69" t="str">
        <f>VLOOKUP(AC129,PL!A:B,2,FALSE)</f>
        <v>Electricity</v>
      </c>
    </row>
    <row r="130" spans="1:30" x14ac:dyDescent="0.25">
      <c r="A130" s="82">
        <v>2015</v>
      </c>
      <c r="B130" s="89" t="s">
        <v>15</v>
      </c>
      <c r="C130" s="72" t="s">
        <v>16</v>
      </c>
      <c r="D130" s="89" t="s">
        <v>21</v>
      </c>
      <c r="E130" s="72" t="s">
        <v>119</v>
      </c>
      <c r="F130" s="89" t="s">
        <v>31</v>
      </c>
      <c r="G130" s="83">
        <v>13707296.600499999</v>
      </c>
      <c r="H130" s="76">
        <v>1370729660.05</v>
      </c>
      <c r="I130" s="84">
        <v>10989926.546844266</v>
      </c>
      <c r="J130" s="89" t="s">
        <v>90</v>
      </c>
      <c r="K130" s="69">
        <v>14775</v>
      </c>
      <c r="L130" s="69" t="s">
        <v>175</v>
      </c>
      <c r="M130" s="73">
        <v>6726</v>
      </c>
      <c r="N130" s="73">
        <v>0</v>
      </c>
      <c r="O130" s="73">
        <v>6184</v>
      </c>
      <c r="P130" s="73">
        <v>0</v>
      </c>
      <c r="Q130" s="74">
        <v>0.91941718703538511</v>
      </c>
      <c r="R130" s="74">
        <v>0</v>
      </c>
      <c r="S130" s="74">
        <v>0.5</v>
      </c>
      <c r="T130" s="73">
        <v>685364830.02499998</v>
      </c>
      <c r="U130" s="73">
        <v>685364830.02499998</v>
      </c>
      <c r="V130" s="73">
        <v>1315501034.1395702</v>
      </c>
      <c r="W130" s="71">
        <f t="shared" si="79"/>
        <v>100</v>
      </c>
      <c r="X130" s="69" t="s">
        <v>131</v>
      </c>
      <c r="Y130" s="69" t="str">
        <f t="shared" si="80"/>
        <v>UMass Amherst (NaturalGas -Natural Gas)</v>
      </c>
      <c r="Z130" s="74">
        <f t="shared" si="81"/>
        <v>685364.83002500003</v>
      </c>
      <c r="AA130" s="74">
        <f t="shared" si="82"/>
        <v>1315501.0341395703</v>
      </c>
      <c r="AB130" s="69" t="str">
        <f t="shared" si="83"/>
        <v>UMass Amherst</v>
      </c>
      <c r="AC130" s="69" t="str">
        <f t="shared" si="84"/>
        <v>NaturalGas -Natural Gas</v>
      </c>
      <c r="AD130" s="69" t="str">
        <f>VLOOKUP(AC130,PL!A:B,2,FALSE)</f>
        <v>NaturalGas</v>
      </c>
    </row>
    <row r="131" spans="1:30" x14ac:dyDescent="0.25">
      <c r="A131" s="75">
        <v>2016</v>
      </c>
      <c r="B131" s="89" t="s">
        <v>15</v>
      </c>
      <c r="C131" s="72" t="s">
        <v>16</v>
      </c>
      <c r="D131" s="89" t="s">
        <v>21</v>
      </c>
      <c r="E131" s="72" t="s">
        <v>119</v>
      </c>
      <c r="F131" s="89" t="s">
        <v>31</v>
      </c>
      <c r="G131" s="3">
        <v>12950308.48171</v>
      </c>
      <c r="H131" s="76">
        <v>1295030848.1700001</v>
      </c>
      <c r="I131" s="81">
        <v>11256934.9</v>
      </c>
      <c r="J131" s="89" t="s">
        <v>90</v>
      </c>
      <c r="K131" s="69">
        <v>14775</v>
      </c>
      <c r="L131" s="69" t="s">
        <v>176</v>
      </c>
      <c r="M131" s="73">
        <v>5427</v>
      </c>
      <c r="N131" s="73">
        <v>0</v>
      </c>
      <c r="O131" s="73">
        <v>6184</v>
      </c>
      <c r="P131" s="73">
        <v>0</v>
      </c>
      <c r="Q131" s="74">
        <v>1.1394877464529205</v>
      </c>
      <c r="R131" s="74">
        <v>0</v>
      </c>
      <c r="S131" s="74">
        <v>0.5</v>
      </c>
      <c r="T131" s="73">
        <v>647515424.08500004</v>
      </c>
      <c r="U131" s="73">
        <v>647515424.08500004</v>
      </c>
      <c r="V131" s="73">
        <v>1385351315.4691238</v>
      </c>
      <c r="W131" s="71">
        <f t="shared" si="79"/>
        <v>99.999999999922792</v>
      </c>
      <c r="X131" s="69" t="s">
        <v>131</v>
      </c>
      <c r="Y131" s="69" t="str">
        <f t="shared" si="80"/>
        <v>UMass Amherst (NaturalGas -Natural Gas)</v>
      </c>
      <c r="Z131" s="74">
        <f t="shared" si="81"/>
        <v>647515.42408500006</v>
      </c>
      <c r="AA131" s="74">
        <f t="shared" si="82"/>
        <v>1385351.3154691239</v>
      </c>
      <c r="AB131" s="69" t="str">
        <f t="shared" si="83"/>
        <v>UMass Amherst</v>
      </c>
      <c r="AC131" s="69" t="str">
        <f t="shared" si="84"/>
        <v>NaturalGas -Natural Gas</v>
      </c>
      <c r="AD131" s="69" t="str">
        <f>VLOOKUP(AC131,PL!A:B,2,FALSE)</f>
        <v>NaturalGas</v>
      </c>
    </row>
    <row r="132" spans="1:30" x14ac:dyDescent="0.25">
      <c r="A132" s="75">
        <v>2014</v>
      </c>
      <c r="B132" s="89" t="s">
        <v>15</v>
      </c>
      <c r="C132" s="71" t="s">
        <v>16</v>
      </c>
      <c r="D132" s="89" t="s">
        <v>21</v>
      </c>
      <c r="E132" s="71" t="s">
        <v>123</v>
      </c>
      <c r="F132" s="71" t="s">
        <v>33</v>
      </c>
      <c r="G132" s="76">
        <v>384992.39999999997</v>
      </c>
      <c r="H132" s="76">
        <v>53394595.955999993</v>
      </c>
      <c r="I132" s="77">
        <v>1293574.4639999999</v>
      </c>
      <c r="J132" s="89" t="s">
        <v>90</v>
      </c>
      <c r="K132" s="69">
        <v>14775</v>
      </c>
      <c r="L132" s="69" t="s">
        <v>174</v>
      </c>
      <c r="M132" s="73">
        <v>6666</v>
      </c>
      <c r="N132" s="73">
        <v>0</v>
      </c>
      <c r="O132" s="73">
        <v>6184</v>
      </c>
      <c r="P132" s="73">
        <v>0</v>
      </c>
      <c r="Q132" s="74">
        <v>0.92769276927692768</v>
      </c>
      <c r="R132" s="74">
        <v>0</v>
      </c>
      <c r="S132" s="74">
        <v>0.05</v>
      </c>
      <c r="T132" s="73">
        <v>2669729.7977999998</v>
      </c>
      <c r="U132" s="73">
        <v>50724866.158199988</v>
      </c>
      <c r="V132" s="73">
        <v>53201555.1875422</v>
      </c>
      <c r="W132" s="73"/>
      <c r="X132" s="74"/>
      <c r="Y132" s="74"/>
      <c r="Z132" s="74"/>
      <c r="AA132" s="74"/>
      <c r="AB132" s="74"/>
      <c r="AC132" s="74"/>
      <c r="AD132" s="74"/>
    </row>
    <row r="133" spans="1:30" x14ac:dyDescent="0.25">
      <c r="A133" s="75">
        <v>2015</v>
      </c>
      <c r="B133" s="89" t="s">
        <v>15</v>
      </c>
      <c r="C133" s="71" t="s">
        <v>16</v>
      </c>
      <c r="D133" s="89" t="s">
        <v>21</v>
      </c>
      <c r="E133" s="71" t="s">
        <v>123</v>
      </c>
      <c r="F133" s="71" t="s">
        <v>33</v>
      </c>
      <c r="G133" s="80">
        <v>348711.37</v>
      </c>
      <c r="H133" s="76">
        <v>48362779.905299999</v>
      </c>
      <c r="I133" s="81">
        <v>956557.17870000005</v>
      </c>
      <c r="J133" s="89" t="s">
        <v>90</v>
      </c>
      <c r="K133" s="69">
        <v>14775</v>
      </c>
      <c r="L133" s="69" t="s">
        <v>175</v>
      </c>
      <c r="M133" s="73">
        <v>6726</v>
      </c>
      <c r="N133" s="73">
        <v>0</v>
      </c>
      <c r="O133" s="73">
        <v>6184</v>
      </c>
      <c r="P133" s="73">
        <v>0</v>
      </c>
      <c r="Q133" s="74">
        <v>0.91941718703538511</v>
      </c>
      <c r="R133" s="74">
        <v>0</v>
      </c>
      <c r="S133" s="74">
        <v>0.05</v>
      </c>
      <c r="T133" s="73">
        <v>2418138.995265</v>
      </c>
      <c r="U133" s="73">
        <v>45944640.910034999</v>
      </c>
      <c r="V133" s="73">
        <v>48167919.462922119</v>
      </c>
      <c r="W133" s="73"/>
      <c r="X133" s="74"/>
      <c r="Y133" s="74"/>
      <c r="Z133" s="74"/>
      <c r="AA133" s="74"/>
      <c r="AB133" s="74"/>
      <c r="AC133" s="74"/>
      <c r="AD133" s="74"/>
    </row>
    <row r="134" spans="1:30" x14ac:dyDescent="0.25">
      <c r="A134" s="75">
        <v>2016</v>
      </c>
      <c r="B134" s="89" t="s">
        <v>15</v>
      </c>
      <c r="C134" s="71" t="s">
        <v>16</v>
      </c>
      <c r="D134" s="89" t="s">
        <v>21</v>
      </c>
      <c r="E134" s="71" t="s">
        <v>123</v>
      </c>
      <c r="F134" s="71" t="s">
        <v>33</v>
      </c>
      <c r="G134" s="88">
        <v>213878</v>
      </c>
      <c r="H134" s="76">
        <v>29662841.666666627</v>
      </c>
      <c r="I134" s="81">
        <v>362289</v>
      </c>
      <c r="J134" s="89" t="s">
        <v>90</v>
      </c>
      <c r="K134" s="69">
        <v>14775</v>
      </c>
      <c r="L134" s="69" t="s">
        <v>176</v>
      </c>
      <c r="M134" s="73">
        <v>5427</v>
      </c>
      <c r="N134" s="73">
        <v>0</v>
      </c>
      <c r="O134" s="73">
        <v>6184</v>
      </c>
      <c r="P134" s="73">
        <v>0</v>
      </c>
      <c r="Q134" s="74">
        <v>1.1394877464529205</v>
      </c>
      <c r="R134" s="74">
        <v>0</v>
      </c>
      <c r="S134" s="74">
        <v>0.05</v>
      </c>
      <c r="T134" s="73">
        <v>1483142.0833333314</v>
      </c>
      <c r="U134" s="73">
        <v>28179699.583333295</v>
      </c>
      <c r="V134" s="73">
        <v>29869721.813540284</v>
      </c>
      <c r="W134" s="73"/>
      <c r="X134" s="74"/>
      <c r="Y134" s="74"/>
      <c r="Z134" s="74"/>
      <c r="AA134" s="74"/>
      <c r="AB134" s="74"/>
      <c r="AC134" s="74"/>
      <c r="AD134" s="74"/>
    </row>
    <row r="135" spans="1:30" x14ac:dyDescent="0.25">
      <c r="A135" s="75">
        <v>2014</v>
      </c>
      <c r="B135" s="89" t="s">
        <v>15</v>
      </c>
      <c r="C135" s="71" t="s">
        <v>16</v>
      </c>
      <c r="D135" s="89" t="s">
        <v>21</v>
      </c>
      <c r="E135" s="70" t="s">
        <v>124</v>
      </c>
      <c r="F135" s="71" t="s">
        <v>33</v>
      </c>
      <c r="G135" s="79">
        <v>942567.6</v>
      </c>
      <c r="H135" s="76">
        <v>130724700.44399999</v>
      </c>
      <c r="I135" s="78">
        <v>3167027.1359999999</v>
      </c>
      <c r="J135" s="89" t="s">
        <v>90</v>
      </c>
      <c r="K135" s="69">
        <v>14775</v>
      </c>
      <c r="L135" s="69" t="s">
        <v>174</v>
      </c>
      <c r="M135" s="73">
        <v>6666</v>
      </c>
      <c r="N135" s="73">
        <v>0</v>
      </c>
      <c r="O135" s="73">
        <v>6184</v>
      </c>
      <c r="P135" s="73">
        <v>0</v>
      </c>
      <c r="Q135" s="74">
        <v>0.92769276927692768</v>
      </c>
      <c r="R135" s="74">
        <v>0</v>
      </c>
      <c r="S135" s="74">
        <v>0.5</v>
      </c>
      <c r="T135" s="73">
        <v>65362350.221999995</v>
      </c>
      <c r="U135" s="73">
        <v>65362350.221999995</v>
      </c>
      <c r="V135" s="73">
        <v>125998529.90589558</v>
      </c>
      <c r="W135" s="71"/>
      <c r="X135" s="71"/>
      <c r="Y135" s="71"/>
      <c r="Z135" s="71"/>
      <c r="AA135" s="71"/>
      <c r="AB135" s="71"/>
      <c r="AC135" s="71"/>
      <c r="AD135" s="71"/>
    </row>
    <row r="136" spans="1:30" x14ac:dyDescent="0.25">
      <c r="A136" s="75">
        <v>2015</v>
      </c>
      <c r="B136" s="89" t="s">
        <v>15</v>
      </c>
      <c r="C136" s="71" t="s">
        <v>16</v>
      </c>
      <c r="D136" s="89" t="s">
        <v>21</v>
      </c>
      <c r="E136" s="70" t="s">
        <v>124</v>
      </c>
      <c r="F136" s="71" t="s">
        <v>33</v>
      </c>
      <c r="G136" s="80">
        <v>853741.63</v>
      </c>
      <c r="H136" s="76">
        <v>118405426.6647</v>
      </c>
      <c r="I136" s="81">
        <v>2341915.8513000002</v>
      </c>
      <c r="J136" s="89" t="s">
        <v>90</v>
      </c>
      <c r="K136" s="69">
        <v>14775</v>
      </c>
      <c r="L136" s="69" t="s">
        <v>175</v>
      </c>
      <c r="M136" s="73">
        <v>6726</v>
      </c>
      <c r="N136" s="73">
        <v>0</v>
      </c>
      <c r="O136" s="73">
        <v>6184</v>
      </c>
      <c r="P136" s="73">
        <v>0</v>
      </c>
      <c r="Q136" s="74">
        <v>0.91941718703538511</v>
      </c>
      <c r="R136" s="74">
        <v>0</v>
      </c>
      <c r="S136" s="74">
        <v>0.5</v>
      </c>
      <c r="T136" s="73">
        <v>59202713.332350001</v>
      </c>
      <c r="U136" s="73">
        <v>59202713.332350001</v>
      </c>
      <c r="V136" s="73">
        <v>113634705.48924153</v>
      </c>
      <c r="W136" s="71"/>
      <c r="X136" s="71"/>
      <c r="Y136" s="71"/>
      <c r="Z136" s="71"/>
      <c r="AA136" s="71"/>
      <c r="AB136" s="71"/>
      <c r="AC136" s="71"/>
      <c r="AD136" s="71"/>
    </row>
    <row r="137" spans="1:30" x14ac:dyDescent="0.25">
      <c r="A137" s="75">
        <v>2016</v>
      </c>
      <c r="B137" s="89" t="s">
        <v>15</v>
      </c>
      <c r="C137" s="71" t="s">
        <v>16</v>
      </c>
      <c r="D137" s="89" t="s">
        <v>21</v>
      </c>
      <c r="E137" s="70" t="s">
        <v>124</v>
      </c>
      <c r="F137" s="71" t="s">
        <v>33</v>
      </c>
      <c r="G137" s="73">
        <v>523631</v>
      </c>
      <c r="H137" s="87">
        <v>72622632.738095105</v>
      </c>
      <c r="I137" s="81">
        <v>886983.4</v>
      </c>
      <c r="J137" s="89" t="s">
        <v>90</v>
      </c>
      <c r="K137" s="69">
        <v>14775</v>
      </c>
      <c r="L137" s="69" t="s">
        <v>176</v>
      </c>
      <c r="M137" s="73">
        <v>5427</v>
      </c>
      <c r="N137" s="73">
        <v>0</v>
      </c>
      <c r="O137" s="73">
        <v>6184</v>
      </c>
      <c r="P137" s="73">
        <v>0</v>
      </c>
      <c r="Q137" s="74">
        <v>1.1394877464529205</v>
      </c>
      <c r="R137" s="74">
        <v>0</v>
      </c>
      <c r="S137" s="74">
        <v>0.5</v>
      </c>
      <c r="T137" s="73">
        <v>36311316.369047567</v>
      </c>
      <c r="U137" s="73">
        <v>36311316.369047567</v>
      </c>
      <c r="V137" s="73">
        <v>77687616.429152623</v>
      </c>
      <c r="W137" s="71"/>
      <c r="X137" s="71"/>
      <c r="Y137" s="71"/>
      <c r="Z137" s="71"/>
      <c r="AA137" s="71"/>
      <c r="AB137" s="71"/>
      <c r="AC137" s="71"/>
      <c r="AD137" s="71"/>
    </row>
    <row r="138" spans="1:30" x14ac:dyDescent="0.25">
      <c r="A138" s="52">
        <v>2014</v>
      </c>
      <c r="B138" s="53" t="s">
        <v>15</v>
      </c>
      <c r="C138" s="53" t="s">
        <v>16</v>
      </c>
      <c r="D138" s="53" t="s">
        <v>25</v>
      </c>
      <c r="E138" s="53" t="s">
        <v>27</v>
      </c>
      <c r="F138" s="53" t="s">
        <v>27</v>
      </c>
      <c r="G138" s="90">
        <v>156208</v>
      </c>
      <c r="H138" s="54">
        <v>19537157.714285716</v>
      </c>
      <c r="I138" s="55">
        <v>471186.32</v>
      </c>
      <c r="J138" s="53" t="s">
        <v>90</v>
      </c>
      <c r="K138" s="71">
        <v>14775</v>
      </c>
      <c r="L138" s="71" t="s">
        <v>174</v>
      </c>
      <c r="M138" s="31">
        <f>IF(F138="electricity",0,VLOOKUP(L138,PL!H:L,2,FALSE))</f>
        <v>6666</v>
      </c>
      <c r="N138" s="31">
        <f>IF(F138="electricity",VLOOKUP(L138,PL!H:L,3,FALSE),0)</f>
        <v>0</v>
      </c>
      <c r="O138" s="31">
        <f>IF(F138="electricity",0,VLOOKUP(L138,PL!H:L,4,FALSE))</f>
        <v>6184</v>
      </c>
      <c r="P138" s="31">
        <f>IF(F138="electricity",VLOOKUP(L138,PL!H:L,5,FALSE),0)</f>
        <v>0</v>
      </c>
      <c r="Q138" s="30">
        <f t="shared" ref="Q138:Q146" si="85">IFERROR(O138/M138,0)</f>
        <v>0.92769276927692768</v>
      </c>
      <c r="R138" s="30">
        <f t="shared" ref="R138:R146" si="86">IFERROR(P138/N138,0)</f>
        <v>0</v>
      </c>
      <c r="S138" s="71">
        <f>VLOOKUP(E138,PL!A:C,3,FALSE)</f>
        <v>0</v>
      </c>
      <c r="T138" s="31">
        <f t="shared" ref="T138:T146" si="87">H138*S138</f>
        <v>0</v>
      </c>
      <c r="U138" s="31">
        <f t="shared" ref="U138:U146" si="88">H138*(1-S138)</f>
        <v>19537157.714285716</v>
      </c>
      <c r="V138" s="31">
        <f t="shared" ref="V138:V146" si="89">IF(Q138=0,(T138*R138)+U138,(T138*Q138)+U138)</f>
        <v>19537157.714285716</v>
      </c>
      <c r="W138" s="71">
        <f t="shared" ref="W138:W146" si="90">H138/G138</f>
        <v>125.07142857142858</v>
      </c>
      <c r="X138" s="69" t="s">
        <v>131</v>
      </c>
      <c r="Y138" s="69" t="str">
        <f t="shared" ref="Y138:Y146" si="91">C138 &amp;" ("&amp;E138&amp;")"</f>
        <v>UMass Amherst (Gasoline)</v>
      </c>
      <c r="Z138" s="74">
        <f t="shared" ref="Z138:Z146" si="92">U138/1000</f>
        <v>19537.157714285717</v>
      </c>
      <c r="AA138" s="74">
        <f t="shared" ref="AA138:AA146" si="93">V138/1000</f>
        <v>19537.157714285717</v>
      </c>
      <c r="AB138" s="69" t="str">
        <f t="shared" ref="AB138:AB146" si="94">C138</f>
        <v>UMass Amherst</v>
      </c>
      <c r="AC138" s="69" t="str">
        <f t="shared" ref="AC138:AC146" si="95">E138</f>
        <v>Gasoline</v>
      </c>
      <c r="AD138" s="69" t="str">
        <f>VLOOKUP(AC138,PL!A:B,2,FALSE)</f>
        <v>Vehicle Fuels</v>
      </c>
    </row>
    <row r="139" spans="1:30" x14ac:dyDescent="0.25">
      <c r="A139" s="52">
        <v>2015</v>
      </c>
      <c r="B139" s="53" t="s">
        <v>15</v>
      </c>
      <c r="C139" s="53" t="s">
        <v>16</v>
      </c>
      <c r="D139" s="53" t="s">
        <v>25</v>
      </c>
      <c r="E139" s="53" t="s">
        <v>27</v>
      </c>
      <c r="F139" s="53" t="s">
        <v>27</v>
      </c>
      <c r="G139" s="90">
        <v>154626</v>
      </c>
      <c r="H139" s="54">
        <v>19339294.714285716</v>
      </c>
      <c r="I139" s="55">
        <v>456036.8</v>
      </c>
      <c r="J139" s="53" t="s">
        <v>90</v>
      </c>
      <c r="K139" s="71">
        <v>14775</v>
      </c>
      <c r="L139" s="71" t="s">
        <v>175</v>
      </c>
      <c r="M139" s="31">
        <f>IF(F139="electricity",0,VLOOKUP(L139,PL!H:L,2,FALSE))</f>
        <v>6726</v>
      </c>
      <c r="N139" s="31">
        <f>IF(F139="electricity",VLOOKUP(L139,PL!H:L,3,FALSE),0)</f>
        <v>0</v>
      </c>
      <c r="O139" s="31">
        <f>IF(F139="electricity",0,VLOOKUP(L139,PL!H:L,4,FALSE))</f>
        <v>6184</v>
      </c>
      <c r="P139" s="31">
        <f>IF(F139="electricity",VLOOKUP(L139,PL!H:L,5,FALSE),0)</f>
        <v>0</v>
      </c>
      <c r="Q139" s="30">
        <f t="shared" si="85"/>
        <v>0.91941718703538511</v>
      </c>
      <c r="R139" s="30">
        <f t="shared" si="86"/>
        <v>0</v>
      </c>
      <c r="S139" s="71">
        <f>VLOOKUP(E139,PL!A:C,3,FALSE)</f>
        <v>0</v>
      </c>
      <c r="T139" s="31">
        <f t="shared" si="87"/>
        <v>0</v>
      </c>
      <c r="U139" s="31">
        <f t="shared" si="88"/>
        <v>19339294.714285716</v>
      </c>
      <c r="V139" s="31">
        <f t="shared" si="89"/>
        <v>19339294.714285716</v>
      </c>
      <c r="W139" s="71">
        <f t="shared" si="90"/>
        <v>125.07142857142858</v>
      </c>
      <c r="X139" s="69" t="s">
        <v>131</v>
      </c>
      <c r="Y139" s="69" t="str">
        <f t="shared" si="91"/>
        <v>UMass Amherst (Gasoline)</v>
      </c>
      <c r="Z139" s="74">
        <f t="shared" si="92"/>
        <v>19339.294714285716</v>
      </c>
      <c r="AA139" s="74">
        <f t="shared" si="93"/>
        <v>19339.294714285716</v>
      </c>
      <c r="AB139" s="69" t="str">
        <f t="shared" si="94"/>
        <v>UMass Amherst</v>
      </c>
      <c r="AC139" s="69" t="str">
        <f t="shared" si="95"/>
        <v>Gasoline</v>
      </c>
      <c r="AD139" s="69" t="str">
        <f>VLOOKUP(AC139,PL!A:B,2,FALSE)</f>
        <v>Vehicle Fuels</v>
      </c>
    </row>
    <row r="140" spans="1:30" x14ac:dyDescent="0.25">
      <c r="A140" s="52">
        <v>2016</v>
      </c>
      <c r="B140" s="53" t="s">
        <v>15</v>
      </c>
      <c r="C140" s="53" t="s">
        <v>16</v>
      </c>
      <c r="D140" s="53" t="s">
        <v>25</v>
      </c>
      <c r="E140" s="53" t="s">
        <v>27</v>
      </c>
      <c r="F140" s="53" t="s">
        <v>27</v>
      </c>
      <c r="G140" s="90">
        <v>143503</v>
      </c>
      <c r="H140" s="54">
        <v>17948125.214285716</v>
      </c>
      <c r="I140" s="55">
        <v>423234</v>
      </c>
      <c r="J140" s="53" t="s">
        <v>90</v>
      </c>
      <c r="K140" s="71">
        <v>14775</v>
      </c>
      <c r="L140" s="71" t="s">
        <v>176</v>
      </c>
      <c r="M140" s="31">
        <f>IF(F140="electricity",0,VLOOKUP(L140,PL!H:L,2,FALSE))</f>
        <v>5427</v>
      </c>
      <c r="N140" s="31">
        <f>IF(F140="electricity",VLOOKUP(L140,PL!H:L,3,FALSE),0)</f>
        <v>0</v>
      </c>
      <c r="O140" s="31">
        <f>IF(F140="electricity",0,VLOOKUP(L140,PL!H:L,4,FALSE))</f>
        <v>6184</v>
      </c>
      <c r="P140" s="31">
        <f>IF(F140="electricity",VLOOKUP(L140,PL!H:L,5,FALSE),0)</f>
        <v>0</v>
      </c>
      <c r="Q140" s="30">
        <f t="shared" si="85"/>
        <v>1.1394877464529205</v>
      </c>
      <c r="R140" s="30">
        <f t="shared" si="86"/>
        <v>0</v>
      </c>
      <c r="S140" s="71">
        <f>VLOOKUP(E140,PL!A:C,3,FALSE)</f>
        <v>0</v>
      </c>
      <c r="T140" s="31">
        <f t="shared" si="87"/>
        <v>0</v>
      </c>
      <c r="U140" s="31">
        <f t="shared" si="88"/>
        <v>17948125.214285716</v>
      </c>
      <c r="V140" s="31">
        <f t="shared" si="89"/>
        <v>17948125.214285716</v>
      </c>
      <c r="W140" s="71">
        <f t="shared" si="90"/>
        <v>125.07142857142858</v>
      </c>
      <c r="X140" s="69" t="s">
        <v>131</v>
      </c>
      <c r="Y140" s="69" t="str">
        <f t="shared" si="91"/>
        <v>UMass Amherst (Gasoline)</v>
      </c>
      <c r="Z140" s="74">
        <f t="shared" si="92"/>
        <v>17948.125214285716</v>
      </c>
      <c r="AA140" s="74">
        <f t="shared" si="93"/>
        <v>17948.125214285716</v>
      </c>
      <c r="AB140" s="69" t="str">
        <f t="shared" si="94"/>
        <v>UMass Amherst</v>
      </c>
      <c r="AC140" s="69" t="str">
        <f t="shared" si="95"/>
        <v>Gasoline</v>
      </c>
      <c r="AD140" s="69" t="str">
        <f>VLOOKUP(AC140,PL!A:B,2,FALSE)</f>
        <v>Vehicle Fuels</v>
      </c>
    </row>
    <row r="141" spans="1:30" x14ac:dyDescent="0.25">
      <c r="A141" s="91">
        <v>2014</v>
      </c>
      <c r="B141" s="53" t="s">
        <v>15</v>
      </c>
      <c r="C141" s="53" t="s">
        <v>16</v>
      </c>
      <c r="D141" s="53" t="s">
        <v>25</v>
      </c>
      <c r="E141" s="53" t="s">
        <v>23</v>
      </c>
      <c r="F141" s="53" t="s">
        <v>26</v>
      </c>
      <c r="G141" s="54">
        <v>51098</v>
      </c>
      <c r="H141" s="54">
        <v>7085557.7380952286</v>
      </c>
      <c r="I141" s="55">
        <v>172515.44</v>
      </c>
      <c r="J141" s="53" t="s">
        <v>90</v>
      </c>
      <c r="K141" s="71">
        <v>14775</v>
      </c>
      <c r="L141" s="69" t="s">
        <v>174</v>
      </c>
      <c r="M141" s="31">
        <f>IF(F141="electricity",0,VLOOKUP(L141,PL!H:L,2,FALSE))</f>
        <v>6666</v>
      </c>
      <c r="N141" s="31">
        <f>IF(F141="electricity",VLOOKUP(L141,PL!H:L,3,FALSE),0)</f>
        <v>0</v>
      </c>
      <c r="O141" s="31">
        <f>IF(F141="electricity",0,VLOOKUP(L141,PL!H:L,4,FALSE))</f>
        <v>6184</v>
      </c>
      <c r="P141" s="31">
        <f>IF(F141="electricity",VLOOKUP(L141,PL!H:L,5,FALSE),0)</f>
        <v>0</v>
      </c>
      <c r="Q141" s="30">
        <f t="shared" si="85"/>
        <v>0.92769276927692768</v>
      </c>
      <c r="R141" s="30">
        <f t="shared" si="86"/>
        <v>0</v>
      </c>
      <c r="S141" s="71">
        <f>VLOOKUP(E141,PL!A:C,3,FALSE)</f>
        <v>0</v>
      </c>
      <c r="T141" s="31">
        <f t="shared" si="87"/>
        <v>0</v>
      </c>
      <c r="U141" s="31">
        <f t="shared" si="88"/>
        <v>7085557.7380952286</v>
      </c>
      <c r="V141" s="31">
        <f t="shared" si="89"/>
        <v>7085557.7380952286</v>
      </c>
      <c r="W141" s="71">
        <f t="shared" si="90"/>
        <v>138.66604834035047</v>
      </c>
      <c r="X141" s="69" t="s">
        <v>131</v>
      </c>
      <c r="Y141" s="69" t="str">
        <f t="shared" si="91"/>
        <v>UMass Amherst (Diesel for Vehicles)</v>
      </c>
      <c r="Z141" s="74">
        <f t="shared" si="92"/>
        <v>7085.5577380952282</v>
      </c>
      <c r="AA141" s="74">
        <f t="shared" si="93"/>
        <v>7085.5577380952282</v>
      </c>
      <c r="AB141" s="69" t="str">
        <f t="shared" si="94"/>
        <v>UMass Amherst</v>
      </c>
      <c r="AC141" s="69" t="str">
        <f t="shared" si="95"/>
        <v>Diesel for Vehicles</v>
      </c>
      <c r="AD141" s="69" t="str">
        <f>VLOOKUP(AC141,PL!A:B,2,FALSE)</f>
        <v>Vehicle Fuels</v>
      </c>
    </row>
    <row r="142" spans="1:30" x14ac:dyDescent="0.25">
      <c r="A142" s="91">
        <v>2015</v>
      </c>
      <c r="B142" s="53" t="s">
        <v>15</v>
      </c>
      <c r="C142" s="53" t="s">
        <v>16</v>
      </c>
      <c r="D142" s="53" t="s">
        <v>25</v>
      </c>
      <c r="E142" s="53" t="s">
        <v>23</v>
      </c>
      <c r="F142" s="53" t="s">
        <v>26</v>
      </c>
      <c r="G142" s="54">
        <v>56337</v>
      </c>
      <c r="H142" s="54">
        <v>7813405.357142847</v>
      </c>
      <c r="I142" s="55">
        <v>192673.68</v>
      </c>
      <c r="J142" s="53" t="s">
        <v>90</v>
      </c>
      <c r="K142" s="71">
        <v>14775</v>
      </c>
      <c r="L142" s="69" t="s">
        <v>175</v>
      </c>
      <c r="M142" s="31">
        <f>IF(F142="electricity",0,VLOOKUP(L142,PL!H:L,2,FALSE))</f>
        <v>6726</v>
      </c>
      <c r="N142" s="31">
        <f>IF(F142="electricity",VLOOKUP(L142,PL!H:L,3,FALSE),0)</f>
        <v>0</v>
      </c>
      <c r="O142" s="31">
        <f>IF(F142="electricity",0,VLOOKUP(L142,PL!H:L,4,FALSE))</f>
        <v>6184</v>
      </c>
      <c r="P142" s="31">
        <f>IF(F142="electricity",VLOOKUP(L142,PL!H:L,5,FALSE),0)</f>
        <v>0</v>
      </c>
      <c r="Q142" s="30">
        <f t="shared" si="85"/>
        <v>0.91941718703538511</v>
      </c>
      <c r="R142" s="30">
        <f t="shared" si="86"/>
        <v>0</v>
      </c>
      <c r="S142" s="71">
        <f>VLOOKUP(E142,PL!A:C,3,FALSE)</f>
        <v>0</v>
      </c>
      <c r="T142" s="31">
        <f t="shared" si="87"/>
        <v>0</v>
      </c>
      <c r="U142" s="31">
        <f t="shared" si="88"/>
        <v>7813405.357142847</v>
      </c>
      <c r="V142" s="31">
        <f t="shared" si="89"/>
        <v>7813405.357142847</v>
      </c>
      <c r="W142" s="71">
        <f t="shared" si="90"/>
        <v>138.69047619047601</v>
      </c>
      <c r="X142" s="69" t="s">
        <v>131</v>
      </c>
      <c r="Y142" s="69" t="str">
        <f t="shared" si="91"/>
        <v>UMass Amherst (Diesel for Vehicles)</v>
      </c>
      <c r="Z142" s="74">
        <f t="shared" si="92"/>
        <v>7813.4053571428467</v>
      </c>
      <c r="AA142" s="74">
        <f t="shared" si="93"/>
        <v>7813.4053571428467</v>
      </c>
      <c r="AB142" s="69" t="str">
        <f t="shared" si="94"/>
        <v>UMass Amherst</v>
      </c>
      <c r="AC142" s="69" t="str">
        <f t="shared" si="95"/>
        <v>Diesel for Vehicles</v>
      </c>
      <c r="AD142" s="69" t="str">
        <f>VLOOKUP(AC142,PL!A:B,2,FALSE)</f>
        <v>Vehicle Fuels</v>
      </c>
    </row>
    <row r="143" spans="1:30" x14ac:dyDescent="0.25">
      <c r="A143" s="91">
        <v>2016</v>
      </c>
      <c r="B143" s="53" t="s">
        <v>15</v>
      </c>
      <c r="C143" s="53" t="s">
        <v>16</v>
      </c>
      <c r="D143" s="53" t="s">
        <v>25</v>
      </c>
      <c r="E143" s="53" t="s">
        <v>23</v>
      </c>
      <c r="F143" s="53" t="s">
        <v>26</v>
      </c>
      <c r="G143" s="54">
        <v>50558</v>
      </c>
      <c r="H143" s="54">
        <v>7011913.0952380858</v>
      </c>
      <c r="I143" s="55">
        <v>172907.89</v>
      </c>
      <c r="J143" s="53" t="s">
        <v>90</v>
      </c>
      <c r="K143" s="71">
        <v>14775</v>
      </c>
      <c r="L143" s="69" t="s">
        <v>176</v>
      </c>
      <c r="M143" s="31">
        <f>IF(F143="electricity",0,VLOOKUP(L143,PL!H:L,2,FALSE))</f>
        <v>5427</v>
      </c>
      <c r="N143" s="31">
        <f>IF(F143="electricity",VLOOKUP(L143,PL!H:L,3,FALSE),0)</f>
        <v>0</v>
      </c>
      <c r="O143" s="31">
        <f>IF(F143="electricity",0,VLOOKUP(L143,PL!H:L,4,FALSE))</f>
        <v>6184</v>
      </c>
      <c r="P143" s="31">
        <f>IF(F143="electricity",VLOOKUP(L143,PL!H:L,5,FALSE),0)</f>
        <v>0</v>
      </c>
      <c r="Q143" s="30">
        <f t="shared" si="85"/>
        <v>1.1394877464529205</v>
      </c>
      <c r="R143" s="30">
        <f t="shared" si="86"/>
        <v>0</v>
      </c>
      <c r="S143" s="71">
        <f>VLOOKUP(E143,PL!A:C,3,FALSE)</f>
        <v>0</v>
      </c>
      <c r="T143" s="31">
        <f t="shared" si="87"/>
        <v>0</v>
      </c>
      <c r="U143" s="31">
        <f t="shared" si="88"/>
        <v>7011913.0952380858</v>
      </c>
      <c r="V143" s="31">
        <f t="shared" si="89"/>
        <v>7011913.0952380858</v>
      </c>
      <c r="W143" s="71">
        <f t="shared" si="90"/>
        <v>138.69047619047601</v>
      </c>
      <c r="X143" s="69" t="s">
        <v>131</v>
      </c>
      <c r="Y143" s="69" t="str">
        <f t="shared" si="91"/>
        <v>UMass Amherst (Diesel for Vehicles)</v>
      </c>
      <c r="Z143" s="74">
        <f t="shared" si="92"/>
        <v>7011.9130952380856</v>
      </c>
      <c r="AA143" s="74">
        <f t="shared" si="93"/>
        <v>7011.9130952380856</v>
      </c>
      <c r="AB143" s="69" t="str">
        <f t="shared" si="94"/>
        <v>UMass Amherst</v>
      </c>
      <c r="AC143" s="69" t="str">
        <f t="shared" si="95"/>
        <v>Diesel for Vehicles</v>
      </c>
      <c r="AD143" s="69" t="str">
        <f>VLOOKUP(AC143,PL!A:B,2,FALSE)</f>
        <v>Vehicle Fuels</v>
      </c>
    </row>
    <row r="144" spans="1:30" x14ac:dyDescent="0.25">
      <c r="A144" s="91">
        <v>2014</v>
      </c>
      <c r="B144" s="53" t="s">
        <v>15</v>
      </c>
      <c r="C144" s="53" t="s">
        <v>16</v>
      </c>
      <c r="D144" s="53" t="s">
        <v>25</v>
      </c>
      <c r="E144" s="53" t="s">
        <v>38</v>
      </c>
      <c r="F144" s="53" t="s">
        <v>39</v>
      </c>
      <c r="G144" s="54">
        <v>2689</v>
      </c>
      <c r="H144" s="54">
        <v>343103.59523809527</v>
      </c>
      <c r="I144" s="55">
        <v>9079.76</v>
      </c>
      <c r="J144" s="53" t="s">
        <v>90</v>
      </c>
      <c r="K144" s="71">
        <v>14775</v>
      </c>
      <c r="L144" s="69" t="s">
        <v>174</v>
      </c>
      <c r="M144" s="31">
        <f>IF(F144="electricity",0,VLOOKUP(L144,PL!H:L,2,FALSE))</f>
        <v>6666</v>
      </c>
      <c r="N144" s="31">
        <f>IF(F144="electricity",VLOOKUP(L144,PL!H:L,3,FALSE),0)</f>
        <v>0</v>
      </c>
      <c r="O144" s="31">
        <f>IF(F144="electricity",0,VLOOKUP(L144,PL!H:L,4,FALSE))</f>
        <v>6184</v>
      </c>
      <c r="P144" s="31">
        <f>IF(F144="electricity",VLOOKUP(L144,PL!H:L,5,FALSE),0)</f>
        <v>0</v>
      </c>
      <c r="Q144" s="30">
        <f t="shared" si="85"/>
        <v>0.92769276927692768</v>
      </c>
      <c r="R144" s="30">
        <f t="shared" si="86"/>
        <v>0</v>
      </c>
      <c r="S144" s="71">
        <f>VLOOKUP(E144,PL!A:C,3,FALSE)</f>
        <v>0</v>
      </c>
      <c r="T144" s="31">
        <f t="shared" si="87"/>
        <v>0</v>
      </c>
      <c r="U144" s="31">
        <f t="shared" si="88"/>
        <v>343103.59523809527</v>
      </c>
      <c r="V144" s="31">
        <f t="shared" si="89"/>
        <v>343103.59523809527</v>
      </c>
      <c r="W144" s="71">
        <f t="shared" si="90"/>
        <v>127.5952380952381</v>
      </c>
      <c r="X144" s="69" t="s">
        <v>131</v>
      </c>
      <c r="Y144" s="69" t="str">
        <f t="shared" si="91"/>
        <v>UMass Amherst (B100 Equivalent for Vehicles)</v>
      </c>
      <c r="Z144" s="74">
        <f t="shared" si="92"/>
        <v>343.10359523809524</v>
      </c>
      <c r="AA144" s="74">
        <f t="shared" si="93"/>
        <v>343.10359523809524</v>
      </c>
      <c r="AB144" s="69" t="str">
        <f t="shared" si="94"/>
        <v>UMass Amherst</v>
      </c>
      <c r="AC144" s="69" t="str">
        <f t="shared" si="95"/>
        <v>B100 Equivalent for Vehicles</v>
      </c>
      <c r="AD144" s="69" t="str">
        <f>VLOOKUP(AC144,PL!A:B,2,FALSE)</f>
        <v>Vehicle Fuels</v>
      </c>
    </row>
    <row r="145" spans="1:30" x14ac:dyDescent="0.25">
      <c r="A145" s="91">
        <v>2015</v>
      </c>
      <c r="B145" s="53" t="s">
        <v>15</v>
      </c>
      <c r="C145" s="53" t="s">
        <v>16</v>
      </c>
      <c r="D145" s="53" t="s">
        <v>25</v>
      </c>
      <c r="E145" s="53" t="s">
        <v>38</v>
      </c>
      <c r="F145" s="53" t="s">
        <v>39</v>
      </c>
      <c r="G145" s="54">
        <v>2965</v>
      </c>
      <c r="H145" s="54">
        <v>378319.88095238095</v>
      </c>
      <c r="I145" s="55">
        <v>10140.719999999999</v>
      </c>
      <c r="J145" s="53" t="s">
        <v>90</v>
      </c>
      <c r="K145" s="71">
        <v>14775</v>
      </c>
      <c r="L145" s="69" t="s">
        <v>175</v>
      </c>
      <c r="M145" s="31">
        <f>IF(F145="electricity",0,VLOOKUP(L145,PL!H:L,2,FALSE))</f>
        <v>6726</v>
      </c>
      <c r="N145" s="31">
        <f>IF(F145="electricity",VLOOKUP(L145,PL!H:L,3,FALSE),0)</f>
        <v>0</v>
      </c>
      <c r="O145" s="31">
        <f>IF(F145="electricity",0,VLOOKUP(L145,PL!H:L,4,FALSE))</f>
        <v>6184</v>
      </c>
      <c r="P145" s="31">
        <f>IF(F145="electricity",VLOOKUP(L145,PL!H:L,5,FALSE),0)</f>
        <v>0</v>
      </c>
      <c r="Q145" s="30">
        <f t="shared" si="85"/>
        <v>0.91941718703538511</v>
      </c>
      <c r="R145" s="30">
        <f t="shared" si="86"/>
        <v>0</v>
      </c>
      <c r="S145" s="71">
        <f>VLOOKUP(E145,PL!A:C,3,FALSE)</f>
        <v>0</v>
      </c>
      <c r="T145" s="31">
        <f t="shared" si="87"/>
        <v>0</v>
      </c>
      <c r="U145" s="31">
        <f t="shared" si="88"/>
        <v>378319.88095238095</v>
      </c>
      <c r="V145" s="31">
        <f t="shared" si="89"/>
        <v>378319.88095238095</v>
      </c>
      <c r="W145" s="71">
        <f t="shared" si="90"/>
        <v>127.59523809523809</v>
      </c>
      <c r="X145" s="69" t="s">
        <v>131</v>
      </c>
      <c r="Y145" s="69" t="str">
        <f t="shared" si="91"/>
        <v>UMass Amherst (B100 Equivalent for Vehicles)</v>
      </c>
      <c r="Z145" s="74">
        <f t="shared" si="92"/>
        <v>378.31988095238097</v>
      </c>
      <c r="AA145" s="74">
        <f t="shared" si="93"/>
        <v>378.31988095238097</v>
      </c>
      <c r="AB145" s="69" t="str">
        <f t="shared" si="94"/>
        <v>UMass Amherst</v>
      </c>
      <c r="AC145" s="69" t="str">
        <f t="shared" si="95"/>
        <v>B100 Equivalent for Vehicles</v>
      </c>
      <c r="AD145" s="69" t="str">
        <f>VLOOKUP(AC145,PL!A:B,2,FALSE)</f>
        <v>Vehicle Fuels</v>
      </c>
    </row>
    <row r="146" spans="1:30" x14ac:dyDescent="0.25">
      <c r="A146" s="91">
        <v>2016</v>
      </c>
      <c r="B146" s="53" t="s">
        <v>15</v>
      </c>
      <c r="C146" s="53" t="s">
        <v>16</v>
      </c>
      <c r="D146" s="53" t="s">
        <v>25</v>
      </c>
      <c r="E146" s="53" t="s">
        <v>38</v>
      </c>
      <c r="F146" s="53" t="s">
        <v>39</v>
      </c>
      <c r="G146" s="54">
        <v>2661</v>
      </c>
      <c r="H146" s="54">
        <v>339530.92857142858</v>
      </c>
      <c r="I146" s="55">
        <v>9100.42</v>
      </c>
      <c r="J146" s="53" t="s">
        <v>90</v>
      </c>
      <c r="K146" s="71">
        <v>14775</v>
      </c>
      <c r="L146" s="69" t="s">
        <v>176</v>
      </c>
      <c r="M146" s="31">
        <f>IF(F146="electricity",0,VLOOKUP(L146,PL!H:L,2,FALSE))</f>
        <v>5427</v>
      </c>
      <c r="N146" s="31">
        <f>IF(F146="electricity",VLOOKUP(L146,PL!H:L,3,FALSE),0)</f>
        <v>0</v>
      </c>
      <c r="O146" s="31">
        <f>IF(F146="electricity",0,VLOOKUP(L146,PL!H:L,4,FALSE))</f>
        <v>6184</v>
      </c>
      <c r="P146" s="31">
        <f>IF(F146="electricity",VLOOKUP(L146,PL!H:L,5,FALSE),0)</f>
        <v>0</v>
      </c>
      <c r="Q146" s="30">
        <f t="shared" si="85"/>
        <v>1.1394877464529205</v>
      </c>
      <c r="R146" s="30">
        <f t="shared" si="86"/>
        <v>0</v>
      </c>
      <c r="S146" s="71">
        <f>VLOOKUP(E146,PL!A:C,3,FALSE)</f>
        <v>0</v>
      </c>
      <c r="T146" s="31">
        <f t="shared" si="87"/>
        <v>0</v>
      </c>
      <c r="U146" s="31">
        <f t="shared" si="88"/>
        <v>339530.92857142858</v>
      </c>
      <c r="V146" s="31">
        <f t="shared" si="89"/>
        <v>339530.92857142858</v>
      </c>
      <c r="W146" s="71">
        <f t="shared" si="90"/>
        <v>127.5952380952381</v>
      </c>
      <c r="X146" s="69" t="s">
        <v>131</v>
      </c>
      <c r="Y146" s="69" t="str">
        <f t="shared" si="91"/>
        <v>UMass Amherst (B100 Equivalent for Vehicles)</v>
      </c>
      <c r="Z146" s="74">
        <f t="shared" si="92"/>
        <v>339.5309285714286</v>
      </c>
      <c r="AA146" s="74">
        <f t="shared" si="93"/>
        <v>339.5309285714286</v>
      </c>
      <c r="AB146" s="69" t="str">
        <f t="shared" si="94"/>
        <v>UMass Amherst</v>
      </c>
      <c r="AC146" s="69" t="str">
        <f t="shared" si="95"/>
        <v>B100 Equivalent for Vehicles</v>
      </c>
      <c r="AD146" s="69" t="str">
        <f>VLOOKUP(AC146,PL!A:B,2,FALSE)</f>
        <v>Vehicle Fuels</v>
      </c>
    </row>
  </sheetData>
  <autoFilter ref="A1:V146">
    <sortState ref="A42:V56">
      <sortCondition ref="A1:A128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E35" sqref="E35"/>
    </sheetView>
  </sheetViews>
  <sheetFormatPr defaultRowHeight="15" x14ac:dyDescent="0.25"/>
  <cols>
    <col min="1" max="1" width="29.28515625" bestFit="1" customWidth="1"/>
    <col min="2" max="2" width="17.7109375" bestFit="1" customWidth="1"/>
    <col min="3" max="3" width="21.5703125" bestFit="1" customWidth="1"/>
    <col min="8" max="8" width="10.140625" bestFit="1" customWidth="1"/>
    <col min="9" max="9" width="12.7109375" bestFit="1" customWidth="1"/>
    <col min="10" max="10" width="12.5703125" bestFit="1" customWidth="1"/>
    <col min="21" max="21" width="14.28515625" style="10" bestFit="1" customWidth="1"/>
  </cols>
  <sheetData>
    <row r="1" spans="1:21" x14ac:dyDescent="0.25">
      <c r="A1" s="17" t="s">
        <v>3</v>
      </c>
      <c r="B1" s="17" t="s">
        <v>91</v>
      </c>
      <c r="C1" s="18" t="s">
        <v>92</v>
      </c>
      <c r="F1" s="17" t="s">
        <v>125</v>
      </c>
      <c r="G1" s="17" t="s">
        <v>0</v>
      </c>
      <c r="H1" s="26" t="s">
        <v>126</v>
      </c>
      <c r="I1" s="17" t="s">
        <v>127</v>
      </c>
      <c r="J1" s="17" t="s">
        <v>128</v>
      </c>
      <c r="K1" s="26" t="s">
        <v>129</v>
      </c>
      <c r="L1" s="26" t="s">
        <v>130</v>
      </c>
      <c r="N1" s="17" t="s">
        <v>2</v>
      </c>
      <c r="O1" s="17" t="s">
        <v>89</v>
      </c>
      <c r="P1" s="17" t="s">
        <v>125</v>
      </c>
      <c r="Q1" s="17" t="s">
        <v>132</v>
      </c>
      <c r="S1" s="39" t="s">
        <v>2</v>
      </c>
      <c r="T1" s="39" t="s">
        <v>0</v>
      </c>
      <c r="U1" s="42" t="s">
        <v>14</v>
      </c>
    </row>
    <row r="2" spans="1:21" x14ac:dyDescent="0.25">
      <c r="A2" s="32" t="s">
        <v>93</v>
      </c>
      <c r="B2" s="32" t="s">
        <v>94</v>
      </c>
      <c r="C2" s="19">
        <v>0</v>
      </c>
      <c r="F2" s="22">
        <v>14775</v>
      </c>
      <c r="G2" s="23">
        <v>2002</v>
      </c>
      <c r="H2" s="23" t="str">
        <f t="shared" ref="H2:H16" si="0">F2&amp;G2</f>
        <v>147752002</v>
      </c>
      <c r="I2" s="24">
        <v>4383</v>
      </c>
      <c r="J2" s="22">
        <v>544</v>
      </c>
      <c r="K2" s="9">
        <v>6184</v>
      </c>
      <c r="L2" s="9">
        <v>695</v>
      </c>
      <c r="N2" s="27" t="s">
        <v>16</v>
      </c>
      <c r="O2" s="27" t="s">
        <v>90</v>
      </c>
      <c r="P2" s="28">
        <v>14775</v>
      </c>
      <c r="Q2" s="27" t="s">
        <v>131</v>
      </c>
      <c r="S2" s="40" t="s">
        <v>16</v>
      </c>
      <c r="T2" s="41">
        <v>2002</v>
      </c>
      <c r="U2" s="43">
        <v>9972960</v>
      </c>
    </row>
    <row r="3" spans="1:21" x14ac:dyDescent="0.25">
      <c r="A3" s="32" t="s">
        <v>95</v>
      </c>
      <c r="B3" s="32" t="s">
        <v>96</v>
      </c>
      <c r="C3" s="20">
        <v>0.9</v>
      </c>
      <c r="F3" s="22">
        <v>14775</v>
      </c>
      <c r="G3" s="23">
        <v>2003</v>
      </c>
      <c r="H3" s="23" t="str">
        <f t="shared" si="0"/>
        <v>147752003</v>
      </c>
      <c r="I3" s="24">
        <v>5939</v>
      </c>
      <c r="J3" s="22">
        <v>667</v>
      </c>
      <c r="K3" s="9">
        <v>6184</v>
      </c>
      <c r="L3" s="9">
        <v>695</v>
      </c>
      <c r="S3" s="40" t="s">
        <v>16</v>
      </c>
      <c r="T3" s="41">
        <v>2003</v>
      </c>
      <c r="U3" s="43">
        <v>9972960</v>
      </c>
    </row>
    <row r="4" spans="1:21" x14ac:dyDescent="0.25">
      <c r="A4" s="32" t="s">
        <v>38</v>
      </c>
      <c r="B4" s="32" t="s">
        <v>94</v>
      </c>
      <c r="C4" s="19">
        <v>0</v>
      </c>
      <c r="F4" s="22">
        <v>14775</v>
      </c>
      <c r="G4" s="23">
        <v>2004</v>
      </c>
      <c r="H4" s="23" t="str">
        <f t="shared" si="0"/>
        <v>147752004</v>
      </c>
      <c r="I4" s="24">
        <v>5939</v>
      </c>
      <c r="J4" s="22">
        <v>614</v>
      </c>
      <c r="K4" s="9">
        <v>6184</v>
      </c>
      <c r="L4" s="9">
        <v>695</v>
      </c>
      <c r="S4" s="40" t="s">
        <v>16</v>
      </c>
      <c r="T4" s="41">
        <v>2004</v>
      </c>
      <c r="U4" s="43">
        <v>10022960</v>
      </c>
    </row>
    <row r="5" spans="1:21" x14ac:dyDescent="0.25">
      <c r="A5" s="32" t="s">
        <v>17</v>
      </c>
      <c r="B5" s="32" t="s">
        <v>22</v>
      </c>
      <c r="C5" s="19">
        <v>0</v>
      </c>
      <c r="F5" s="22">
        <v>14775</v>
      </c>
      <c r="G5" s="23">
        <v>2005</v>
      </c>
      <c r="H5" s="23" t="str">
        <f t="shared" si="0"/>
        <v>147752005</v>
      </c>
      <c r="I5" s="24">
        <v>6620</v>
      </c>
      <c r="J5" s="22">
        <v>606</v>
      </c>
      <c r="K5" s="9">
        <v>6184</v>
      </c>
      <c r="L5" s="9">
        <v>695</v>
      </c>
      <c r="S5" s="40" t="s">
        <v>16</v>
      </c>
      <c r="T5" s="41">
        <v>2005</v>
      </c>
      <c r="U5" s="43">
        <v>10022960</v>
      </c>
    </row>
    <row r="6" spans="1:21" x14ac:dyDescent="0.25">
      <c r="A6" s="32" t="s">
        <v>97</v>
      </c>
      <c r="B6" s="32" t="s">
        <v>94</v>
      </c>
      <c r="C6" s="19">
        <v>0</v>
      </c>
      <c r="F6" s="22">
        <v>14775</v>
      </c>
      <c r="G6" s="23">
        <v>2006</v>
      </c>
      <c r="H6" s="23" t="str">
        <f t="shared" si="0"/>
        <v>147752006</v>
      </c>
      <c r="I6" s="24">
        <v>6087</v>
      </c>
      <c r="J6" s="22">
        <v>784</v>
      </c>
      <c r="K6" s="9">
        <v>6184</v>
      </c>
      <c r="L6" s="9">
        <v>695</v>
      </c>
      <c r="S6" s="40" t="s">
        <v>16</v>
      </c>
      <c r="T6" s="41">
        <v>2006</v>
      </c>
      <c r="U6" s="43">
        <v>10355328</v>
      </c>
    </row>
    <row r="7" spans="1:21" x14ac:dyDescent="0.25">
      <c r="A7" s="32" t="s">
        <v>98</v>
      </c>
      <c r="B7" s="32" t="s">
        <v>96</v>
      </c>
      <c r="C7" s="20">
        <v>0.9</v>
      </c>
      <c r="F7" s="22">
        <v>14775</v>
      </c>
      <c r="G7" s="23">
        <v>2007</v>
      </c>
      <c r="H7" s="23" t="str">
        <f t="shared" si="0"/>
        <v>147752007</v>
      </c>
      <c r="I7" s="24">
        <v>6216</v>
      </c>
      <c r="J7" s="22">
        <v>682</v>
      </c>
      <c r="K7" s="9">
        <v>6184</v>
      </c>
      <c r="L7" s="9">
        <v>695</v>
      </c>
      <c r="S7" s="40" t="s">
        <v>16</v>
      </c>
      <c r="T7" s="41">
        <v>2007</v>
      </c>
      <c r="U7" s="43">
        <v>10371033</v>
      </c>
    </row>
    <row r="8" spans="1:21" x14ac:dyDescent="0.25">
      <c r="A8" s="32" t="s">
        <v>23</v>
      </c>
      <c r="B8" s="32" t="s">
        <v>94</v>
      </c>
      <c r="C8" s="19">
        <v>0</v>
      </c>
      <c r="F8" s="22">
        <v>14775</v>
      </c>
      <c r="G8" s="23">
        <v>2008</v>
      </c>
      <c r="H8" s="23" t="str">
        <f t="shared" si="0"/>
        <v>147752008</v>
      </c>
      <c r="I8" s="24">
        <v>6357</v>
      </c>
      <c r="J8" s="22">
        <v>646</v>
      </c>
      <c r="K8" s="9">
        <v>6184</v>
      </c>
      <c r="L8" s="9">
        <v>695</v>
      </c>
      <c r="S8" s="40" t="s">
        <v>16</v>
      </c>
      <c r="T8" s="41">
        <v>2008</v>
      </c>
      <c r="U8" s="43">
        <v>10488336</v>
      </c>
    </row>
    <row r="9" spans="1:21" x14ac:dyDescent="0.25">
      <c r="A9" s="32" t="s">
        <v>99</v>
      </c>
      <c r="B9" s="32" t="s">
        <v>48</v>
      </c>
      <c r="C9" s="19">
        <v>0</v>
      </c>
      <c r="F9" s="22">
        <v>14775</v>
      </c>
      <c r="G9" s="23">
        <v>2009</v>
      </c>
      <c r="H9" s="23" t="str">
        <f t="shared" si="0"/>
        <v>147752009</v>
      </c>
      <c r="I9" s="24">
        <v>6513</v>
      </c>
      <c r="J9" s="22">
        <v>546</v>
      </c>
      <c r="K9" s="9">
        <v>6184</v>
      </c>
      <c r="L9" s="9">
        <v>695</v>
      </c>
      <c r="S9" s="40" t="s">
        <v>16</v>
      </c>
      <c r="T9" s="41">
        <v>2009</v>
      </c>
      <c r="U9" s="43">
        <v>10677667</v>
      </c>
    </row>
    <row r="10" spans="1:21" x14ac:dyDescent="0.25">
      <c r="A10" s="32" t="s">
        <v>100</v>
      </c>
      <c r="B10" s="32" t="s">
        <v>48</v>
      </c>
      <c r="C10" s="19">
        <v>0</v>
      </c>
      <c r="F10" s="22">
        <v>14775</v>
      </c>
      <c r="G10" s="23">
        <v>2010</v>
      </c>
      <c r="H10" s="23" t="str">
        <f t="shared" si="0"/>
        <v>147752010</v>
      </c>
      <c r="I10" s="24">
        <v>5785</v>
      </c>
      <c r="J10" s="22">
        <v>622</v>
      </c>
      <c r="K10" s="9">
        <v>6184</v>
      </c>
      <c r="L10" s="9">
        <v>695</v>
      </c>
      <c r="S10" s="40" t="s">
        <v>16</v>
      </c>
      <c r="T10" s="41">
        <v>2010</v>
      </c>
      <c r="U10" s="43">
        <v>10777084</v>
      </c>
    </row>
    <row r="11" spans="1:21" x14ac:dyDescent="0.25">
      <c r="A11" s="32" t="s">
        <v>27</v>
      </c>
      <c r="B11" s="32" t="s">
        <v>94</v>
      </c>
      <c r="C11" s="19">
        <v>0</v>
      </c>
      <c r="F11" s="22">
        <v>14775</v>
      </c>
      <c r="G11" s="23">
        <v>2011</v>
      </c>
      <c r="H11" s="23" t="str">
        <f t="shared" si="0"/>
        <v>147752011</v>
      </c>
      <c r="I11" s="24">
        <v>6270</v>
      </c>
      <c r="J11" s="22">
        <v>921</v>
      </c>
      <c r="K11" s="9">
        <v>6184</v>
      </c>
      <c r="L11" s="9">
        <v>695</v>
      </c>
      <c r="S11" s="40" t="s">
        <v>16</v>
      </c>
      <c r="T11" s="41">
        <v>2011</v>
      </c>
      <c r="U11" s="43">
        <v>10831867</v>
      </c>
    </row>
    <row r="12" spans="1:21" x14ac:dyDescent="0.25">
      <c r="A12" s="32" t="s">
        <v>28</v>
      </c>
      <c r="B12" s="32" t="s">
        <v>30</v>
      </c>
      <c r="C12" s="19">
        <v>0.05</v>
      </c>
      <c r="F12" s="22">
        <v>14775</v>
      </c>
      <c r="G12" s="23">
        <v>2012</v>
      </c>
      <c r="H12" s="23" t="str">
        <f t="shared" si="0"/>
        <v>147752012</v>
      </c>
      <c r="I12" s="24">
        <v>4908</v>
      </c>
      <c r="J12" s="22">
        <v>853</v>
      </c>
      <c r="K12" s="9">
        <v>6184</v>
      </c>
      <c r="L12" s="9">
        <v>695</v>
      </c>
      <c r="S12" s="40" t="s">
        <v>16</v>
      </c>
      <c r="T12" s="41">
        <v>2012</v>
      </c>
      <c r="U12" s="43">
        <v>11279169</v>
      </c>
    </row>
    <row r="13" spans="1:21" x14ac:dyDescent="0.25">
      <c r="A13" s="32" t="s">
        <v>101</v>
      </c>
      <c r="B13" s="32" t="s">
        <v>30</v>
      </c>
      <c r="C13" s="19">
        <v>0.05</v>
      </c>
      <c r="F13" s="9">
        <v>14775</v>
      </c>
      <c r="G13" s="25">
        <v>2013</v>
      </c>
      <c r="H13" s="25" t="str">
        <f t="shared" si="0"/>
        <v>147752013</v>
      </c>
      <c r="I13" s="24">
        <v>6410</v>
      </c>
      <c r="J13" s="69">
        <v>942</v>
      </c>
      <c r="K13" s="9">
        <v>6184</v>
      </c>
      <c r="L13" s="9">
        <v>695</v>
      </c>
      <c r="S13" s="40" t="s">
        <v>16</v>
      </c>
      <c r="T13" s="41">
        <v>2013</v>
      </c>
      <c r="U13" s="43">
        <v>11639494</v>
      </c>
    </row>
    <row r="14" spans="1:21" x14ac:dyDescent="0.25">
      <c r="A14" s="32" t="s">
        <v>102</v>
      </c>
      <c r="B14" s="32" t="s">
        <v>94</v>
      </c>
      <c r="C14" s="19">
        <v>0</v>
      </c>
      <c r="F14" s="69">
        <v>14775</v>
      </c>
      <c r="G14" s="25">
        <v>2014</v>
      </c>
      <c r="H14" s="25" t="str">
        <f t="shared" si="0"/>
        <v>147752014</v>
      </c>
      <c r="I14" s="24">
        <v>6666</v>
      </c>
      <c r="J14" s="69">
        <v>704</v>
      </c>
      <c r="K14" s="69">
        <v>6184</v>
      </c>
      <c r="L14" s="69">
        <v>695</v>
      </c>
      <c r="S14" s="40" t="s">
        <v>16</v>
      </c>
      <c r="T14" s="41">
        <v>2014</v>
      </c>
      <c r="U14" s="43">
        <v>12239033</v>
      </c>
    </row>
    <row r="15" spans="1:21" x14ac:dyDescent="0.25">
      <c r="A15" s="32" t="s">
        <v>103</v>
      </c>
      <c r="B15" s="32" t="s">
        <v>30</v>
      </c>
      <c r="C15" s="19">
        <v>0.05</v>
      </c>
      <c r="F15" s="69">
        <v>14775</v>
      </c>
      <c r="G15" s="25">
        <v>2015</v>
      </c>
      <c r="H15" s="25" t="str">
        <f t="shared" si="0"/>
        <v>147752015</v>
      </c>
      <c r="I15" s="24">
        <v>6726</v>
      </c>
      <c r="J15" s="69">
        <v>673</v>
      </c>
      <c r="K15" s="69">
        <v>6184</v>
      </c>
      <c r="L15" s="69">
        <v>695</v>
      </c>
      <c r="S15" s="40" t="s">
        <v>16</v>
      </c>
      <c r="T15" s="41">
        <v>2015</v>
      </c>
      <c r="U15" s="43">
        <v>12514904</v>
      </c>
    </row>
    <row r="16" spans="1:21" x14ac:dyDescent="0.25">
      <c r="A16" s="32" t="s">
        <v>104</v>
      </c>
      <c r="B16" s="32" t="s">
        <v>48</v>
      </c>
      <c r="C16" s="19">
        <v>0</v>
      </c>
      <c r="F16" s="69">
        <v>14775</v>
      </c>
      <c r="G16" s="25">
        <v>2016</v>
      </c>
      <c r="H16" s="25" t="str">
        <f t="shared" si="0"/>
        <v>147752016</v>
      </c>
      <c r="I16" s="24">
        <v>5427</v>
      </c>
      <c r="J16" s="69">
        <v>780</v>
      </c>
      <c r="K16" s="69">
        <v>6184</v>
      </c>
      <c r="L16" s="69">
        <v>695</v>
      </c>
      <c r="S16" s="40" t="s">
        <v>16</v>
      </c>
      <c r="T16" s="41">
        <v>2016</v>
      </c>
      <c r="U16" s="43">
        <v>12805925</v>
      </c>
    </row>
    <row r="17" spans="1:3" x14ac:dyDescent="0.25">
      <c r="A17" s="32" t="s">
        <v>31</v>
      </c>
      <c r="B17" s="32" t="s">
        <v>105</v>
      </c>
      <c r="C17" s="19">
        <v>0.5</v>
      </c>
    </row>
    <row r="18" spans="1:3" x14ac:dyDescent="0.25">
      <c r="A18" s="32" t="s">
        <v>33</v>
      </c>
      <c r="B18" s="32" t="s">
        <v>96</v>
      </c>
      <c r="C18" s="20">
        <v>0.9</v>
      </c>
    </row>
    <row r="19" spans="1:3" x14ac:dyDescent="0.25">
      <c r="A19" s="32" t="s">
        <v>106</v>
      </c>
      <c r="B19" s="32" t="s">
        <v>96</v>
      </c>
      <c r="C19" s="20">
        <v>0.9</v>
      </c>
    </row>
    <row r="20" spans="1:3" x14ac:dyDescent="0.25">
      <c r="A20" s="32" t="s">
        <v>107</v>
      </c>
      <c r="B20" s="32" t="s">
        <v>96</v>
      </c>
      <c r="C20" s="20">
        <v>0.9</v>
      </c>
    </row>
    <row r="21" spans="1:3" x14ac:dyDescent="0.25">
      <c r="A21" s="32" t="s">
        <v>108</v>
      </c>
      <c r="B21" s="32" t="s">
        <v>48</v>
      </c>
      <c r="C21" s="19">
        <v>0</v>
      </c>
    </row>
    <row r="22" spans="1:3" x14ac:dyDescent="0.25">
      <c r="A22" s="32" t="s">
        <v>109</v>
      </c>
      <c r="B22" s="33" t="s">
        <v>110</v>
      </c>
      <c r="C22" s="19">
        <v>0</v>
      </c>
    </row>
    <row r="23" spans="1:3" x14ac:dyDescent="0.25">
      <c r="A23" s="32" t="s">
        <v>44</v>
      </c>
      <c r="B23" s="33" t="s">
        <v>110</v>
      </c>
      <c r="C23" s="19">
        <v>0</v>
      </c>
    </row>
    <row r="24" spans="1:3" x14ac:dyDescent="0.25">
      <c r="A24" s="32" t="s">
        <v>111</v>
      </c>
      <c r="B24" s="33" t="s">
        <v>110</v>
      </c>
      <c r="C24" s="19">
        <v>0</v>
      </c>
    </row>
    <row r="25" spans="1:3" x14ac:dyDescent="0.25">
      <c r="A25" s="32" t="s">
        <v>37</v>
      </c>
      <c r="B25" s="32" t="s">
        <v>48</v>
      </c>
      <c r="C25" s="19">
        <v>0</v>
      </c>
    </row>
    <row r="26" spans="1:3" x14ac:dyDescent="0.25">
      <c r="A26" s="32" t="s">
        <v>35</v>
      </c>
      <c r="B26" s="32" t="s">
        <v>96</v>
      </c>
      <c r="C26" s="20">
        <v>0.9</v>
      </c>
    </row>
    <row r="27" spans="1:3" x14ac:dyDescent="0.25">
      <c r="A27" s="32" t="s">
        <v>112</v>
      </c>
      <c r="B27" s="32" t="s">
        <v>94</v>
      </c>
      <c r="C27" s="19">
        <v>0</v>
      </c>
    </row>
    <row r="28" spans="1:3" x14ac:dyDescent="0.25">
      <c r="A28" s="32" t="s">
        <v>113</v>
      </c>
      <c r="B28" s="32" t="s">
        <v>114</v>
      </c>
      <c r="C28" s="19">
        <v>0</v>
      </c>
    </row>
    <row r="29" spans="1:3" x14ac:dyDescent="0.25">
      <c r="A29" s="32" t="s">
        <v>115</v>
      </c>
      <c r="B29" s="32" t="s">
        <v>114</v>
      </c>
      <c r="C29" s="19">
        <v>0</v>
      </c>
    </row>
    <row r="30" spans="1:3" x14ac:dyDescent="0.25">
      <c r="A30" s="32" t="s">
        <v>116</v>
      </c>
      <c r="B30" s="32" t="s">
        <v>48</v>
      </c>
      <c r="C30" s="19">
        <v>0</v>
      </c>
    </row>
    <row r="31" spans="1:3" x14ac:dyDescent="0.25">
      <c r="A31" s="32" t="s">
        <v>117</v>
      </c>
      <c r="B31" s="33" t="s">
        <v>118</v>
      </c>
      <c r="C31" s="19">
        <v>0.5</v>
      </c>
    </row>
    <row r="32" spans="1:3" x14ac:dyDescent="0.25">
      <c r="A32" s="32" t="s">
        <v>42</v>
      </c>
      <c r="B32" s="33" t="s">
        <v>118</v>
      </c>
      <c r="C32" s="19">
        <v>0.5</v>
      </c>
    </row>
    <row r="33" spans="1:3" x14ac:dyDescent="0.25">
      <c r="A33" s="32" t="s">
        <v>40</v>
      </c>
      <c r="B33" s="33" t="s">
        <v>118</v>
      </c>
      <c r="C33" s="19">
        <v>0</v>
      </c>
    </row>
    <row r="34" spans="1:3" x14ac:dyDescent="0.25">
      <c r="A34" s="21" t="s">
        <v>119</v>
      </c>
      <c r="B34" s="32" t="s">
        <v>105</v>
      </c>
      <c r="C34" s="19">
        <v>0.5</v>
      </c>
    </row>
    <row r="35" spans="1:3" x14ac:dyDescent="0.25">
      <c r="A35" s="21" t="s">
        <v>120</v>
      </c>
      <c r="B35" s="32" t="s">
        <v>30</v>
      </c>
      <c r="C35" s="19">
        <v>0.05</v>
      </c>
    </row>
    <row r="36" spans="1:3" x14ac:dyDescent="0.25">
      <c r="A36" s="34" t="s">
        <v>121</v>
      </c>
      <c r="B36" s="32" t="s">
        <v>114</v>
      </c>
      <c r="C36" s="19">
        <v>0</v>
      </c>
    </row>
    <row r="37" spans="1:3" x14ac:dyDescent="0.25">
      <c r="A37" s="34" t="s">
        <v>122</v>
      </c>
      <c r="B37" s="32" t="s">
        <v>105</v>
      </c>
      <c r="C37" s="19">
        <v>0.5</v>
      </c>
    </row>
    <row r="38" spans="1:3" x14ac:dyDescent="0.25">
      <c r="A38" s="21" t="s">
        <v>123</v>
      </c>
      <c r="B38" s="21" t="s">
        <v>30</v>
      </c>
      <c r="C38" s="19">
        <v>0.05</v>
      </c>
    </row>
    <row r="39" spans="1:3" x14ac:dyDescent="0.25">
      <c r="A39" s="21" t="s">
        <v>124</v>
      </c>
      <c r="B39" s="9" t="s">
        <v>96</v>
      </c>
      <c r="C39" s="19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 Usage + GHG Emissions</vt:lpstr>
      <vt:lpstr>Overview EUI</vt:lpstr>
      <vt:lpstr>-</vt:lpstr>
      <vt:lpstr>rawGHG</vt:lpstr>
      <vt:lpstr>rawkBTU</vt:lpstr>
      <vt:lpstr>PL</vt:lpstr>
    </vt:vector>
  </TitlesOfParts>
  <Company>Commonwealth of Massachusetts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murrutia</dc:creator>
  <cp:lastModifiedBy>Ezra Small</cp:lastModifiedBy>
  <dcterms:created xsi:type="dcterms:W3CDTF">2014-05-02T13:49:04Z</dcterms:created>
  <dcterms:modified xsi:type="dcterms:W3CDTF">2017-12-13T18:54:05Z</dcterms:modified>
</cp:coreProperties>
</file>