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maaffp\users\esmall\Energy and Emissions\Emissions\FY19 Emissions Inventory\"/>
    </mc:Choice>
  </mc:AlternateContent>
  <bookViews>
    <workbookView xWindow="0" yWindow="0" windowWidth="28800" windowHeight="11700" tabRatio="672"/>
  </bookViews>
  <sheets>
    <sheet name="SR Emissions Summary" sheetId="18" r:id="rId1"/>
    <sheet name="Federal eGGRT Calcs" sheetId="15" r:id="rId2"/>
    <sheet name="MA GHG Calcs" sheetId="16" r:id="rId3"/>
    <sheet name="CHP Fuel Use, CEMS Data" sheetId="10" r:id="rId4"/>
    <sheet name="CTG - oil " sheetId="7" r:id="rId5"/>
    <sheet name="CTG - ng" sheetId="8" r:id="rId6"/>
    <sheet name="Boiler Emissions" sheetId="1" r:id="rId7"/>
    <sheet name="Black Start Emerg. Generator" sheetId="11" r:id="rId8"/>
    <sheet name="Paint booth &amp; degreaser" sheetId="12" r:id="rId9"/>
    <sheet name="LNG Facility" sheetId="38" r:id="rId10"/>
    <sheet name="Storage Tanks" sheetId="13" r:id="rId11"/>
    <sheet name="Small Boilers - NG1" sheetId="14" r:id="rId12"/>
    <sheet name="Small Boilers - Oil" sheetId="20" r:id="rId13"/>
    <sheet name="Emergency Generators-NG" sheetId="17" r:id="rId14"/>
    <sheet name="Emergency Generators - Diesel" sheetId="24" r:id="rId15"/>
    <sheet name="NG, Diesel and Propane totals" sheetId="21" r:id="rId16"/>
    <sheet name="Space Heaters" sheetId="30" r:id="rId17"/>
    <sheet name="EGenerator Raw Data" sheetId="37" r:id="rId18"/>
    <sheet name="Berskhire Gas - RTIC and UMTS" sheetId="36" r:id="rId19"/>
    <sheet name="PVTA UMA Bus Fleet" sheetId="39" r:id="rId20"/>
  </sheets>
  <definedNames>
    <definedName name="_xlnm.Print_Area" localSheetId="3">'CHP Fuel Use, CEMS Data'!$A$1:$AF$74</definedName>
    <definedName name="_xlnm.Print_Area" localSheetId="2">'MA GHG Calcs'!$A$1:$S$36</definedName>
    <definedName name="_xlnm.Print_Area" localSheetId="0">'SR Emissions Summary'!$A$1:$S$53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32" i="16" l="1"/>
  <c r="U15" i="16"/>
  <c r="U14" i="16"/>
  <c r="U12" i="16"/>
  <c r="T32" i="16"/>
  <c r="T31" i="16"/>
  <c r="T30" i="16"/>
  <c r="T29" i="16"/>
  <c r="T28" i="16"/>
  <c r="T27" i="16"/>
  <c r="T26" i="16"/>
  <c r="T25" i="16"/>
  <c r="T24" i="16"/>
  <c r="T23" i="16"/>
  <c r="T22" i="16"/>
  <c r="T21" i="16"/>
  <c r="T20" i="16"/>
  <c r="T19" i="16"/>
  <c r="T18" i="16"/>
  <c r="T17" i="16"/>
  <c r="T16" i="16"/>
  <c r="T15" i="16"/>
  <c r="T14" i="16"/>
  <c r="T13" i="16"/>
  <c r="T12" i="16"/>
  <c r="T11" i="16"/>
  <c r="T10" i="16"/>
  <c r="T9" i="16"/>
  <c r="T8" i="16"/>
  <c r="T7" i="16"/>
  <c r="F30" i="18" l="1"/>
  <c r="E30" i="18"/>
  <c r="F22" i="13" l="1"/>
  <c r="F19" i="13"/>
  <c r="F12" i="13"/>
  <c r="F10" i="13"/>
  <c r="L41" i="38"/>
  <c r="L39" i="38"/>
  <c r="L38" i="38"/>
  <c r="D21" i="16" l="1"/>
  <c r="D30" i="16"/>
  <c r="D26" i="7" l="1"/>
  <c r="D20" i="16"/>
  <c r="D19" i="16"/>
  <c r="D27" i="16"/>
  <c r="D26" i="16"/>
  <c r="D24" i="16"/>
  <c r="D22" i="16"/>
  <c r="D23" i="16"/>
  <c r="F21" i="13" l="1"/>
  <c r="G21" i="11"/>
  <c r="G20" i="11"/>
  <c r="G19" i="11"/>
  <c r="G18" i="11"/>
  <c r="G17" i="11"/>
  <c r="G16" i="11"/>
  <c r="B9" i="11"/>
  <c r="R15" i="16"/>
  <c r="N15" i="16"/>
  <c r="D14" i="12"/>
  <c r="D16" i="12" s="1"/>
  <c r="E32" i="7" l="1"/>
  <c r="E13" i="14"/>
  <c r="E17" i="14"/>
  <c r="B49" i="21"/>
  <c r="B48" i="21"/>
  <c r="K10" i="30"/>
  <c r="C10" i="30"/>
  <c r="E45" i="7"/>
  <c r="E44" i="7"/>
  <c r="E43" i="7"/>
  <c r="F9" i="7"/>
  <c r="J15" i="16"/>
  <c r="K15" i="16" s="1"/>
  <c r="O15" i="16"/>
  <c r="S62" i="10" l="1"/>
  <c r="G71" i="24"/>
  <c r="D71" i="24"/>
  <c r="F71" i="24" s="1"/>
  <c r="C71" i="24"/>
  <c r="H56" i="37"/>
  <c r="H28" i="37"/>
  <c r="H27" i="37"/>
  <c r="H21" i="37"/>
  <c r="H17" i="37"/>
  <c r="H12" i="37"/>
  <c r="V71" i="24" l="1"/>
  <c r="T71" i="24"/>
  <c r="R71" i="24"/>
  <c r="P71" i="24"/>
  <c r="U71" i="24" s="1"/>
  <c r="H71" i="24"/>
  <c r="S71" i="24"/>
  <c r="Q71" i="24"/>
  <c r="H75" i="37"/>
  <c r="H74" i="37"/>
  <c r="H73" i="37"/>
  <c r="H71" i="37"/>
  <c r="H70" i="37"/>
  <c r="H69" i="37"/>
  <c r="H68" i="37"/>
  <c r="H67" i="37"/>
  <c r="H66" i="37"/>
  <c r="H65" i="37"/>
  <c r="H64" i="37"/>
  <c r="H63" i="37"/>
  <c r="H62" i="37"/>
  <c r="H61" i="37"/>
  <c r="H60" i="37"/>
  <c r="H59" i="37"/>
  <c r="H58" i="37"/>
  <c r="H57" i="37"/>
  <c r="H55" i="37"/>
  <c r="H54" i="37"/>
  <c r="H53" i="37"/>
  <c r="H52" i="37"/>
  <c r="H51" i="37"/>
  <c r="H50" i="37"/>
  <c r="H49" i="37"/>
  <c r="H48" i="37"/>
  <c r="H47" i="37"/>
  <c r="H46" i="37"/>
  <c r="H45" i="37"/>
  <c r="H43" i="37"/>
  <c r="H42" i="37"/>
  <c r="H41" i="37"/>
  <c r="H40" i="37"/>
  <c r="H39" i="37"/>
  <c r="H38" i="37"/>
  <c r="H37" i="37"/>
  <c r="H36" i="37"/>
  <c r="H35" i="37"/>
  <c r="H34" i="37"/>
  <c r="H32" i="37"/>
  <c r="H31" i="37"/>
  <c r="H30" i="37"/>
  <c r="H29" i="37"/>
  <c r="H26" i="37"/>
  <c r="H25" i="37"/>
  <c r="H24" i="37"/>
  <c r="H23" i="37"/>
  <c r="H22" i="37"/>
  <c r="H20" i="37"/>
  <c r="H19" i="37"/>
  <c r="H18" i="37"/>
  <c r="H15" i="37"/>
  <c r="H14" i="37"/>
  <c r="H13" i="37"/>
  <c r="H11" i="37"/>
  <c r="H10" i="37"/>
  <c r="H9" i="37"/>
  <c r="H8" i="37"/>
  <c r="H7" i="37"/>
  <c r="H6" i="37"/>
  <c r="L71" i="24" l="1"/>
  <c r="J71" i="24"/>
  <c r="O71" i="24"/>
  <c r="M71" i="24"/>
  <c r="K71" i="24"/>
  <c r="I71" i="24"/>
  <c r="N71" i="24" s="1"/>
  <c r="N12" i="38"/>
  <c r="I45" i="38"/>
  <c r="I44" i="38"/>
  <c r="I43" i="38"/>
  <c r="I42" i="38"/>
  <c r="I41" i="38"/>
  <c r="I40" i="38"/>
  <c r="I39" i="38"/>
  <c r="I38" i="38"/>
  <c r="C11" i="38"/>
  <c r="H42" i="38"/>
  <c r="W68" i="10" l="1"/>
  <c r="W62" i="10"/>
  <c r="W56" i="10"/>
  <c r="W50" i="10"/>
  <c r="S58" i="10" l="1"/>
  <c r="S54" i="10"/>
  <c r="S50" i="10"/>
  <c r="S49" i="10"/>
  <c r="D29" i="16"/>
  <c r="F31" i="16"/>
  <c r="B43" i="13"/>
  <c r="C22" i="15" l="1"/>
  <c r="C21" i="15"/>
  <c r="C20" i="15"/>
  <c r="D14" i="20" l="1"/>
  <c r="D13" i="20"/>
  <c r="D12" i="20"/>
  <c r="D11" i="20"/>
  <c r="D10" i="20"/>
  <c r="D9" i="20"/>
  <c r="D8" i="20"/>
  <c r="E16" i="14"/>
  <c r="E12" i="14"/>
  <c r="E11" i="14"/>
  <c r="E10" i="14"/>
  <c r="E8" i="14"/>
  <c r="Q34" i="18" l="1"/>
  <c r="M29" i="18" l="1"/>
  <c r="N29" i="18"/>
  <c r="P81" i="24"/>
  <c r="E26" i="1"/>
  <c r="S15" i="18" l="1"/>
  <c r="R15" i="18"/>
  <c r="Q15" i="18"/>
  <c r="P15" i="18"/>
  <c r="O15" i="18"/>
  <c r="N15" i="18"/>
  <c r="M15" i="18"/>
  <c r="F16" i="24"/>
  <c r="D31" i="16"/>
  <c r="J31" i="16" l="1"/>
  <c r="K31" i="16" s="1"/>
  <c r="N31" i="16"/>
  <c r="O31" i="16" s="1"/>
  <c r="R31" i="16"/>
  <c r="S31" i="16" s="1"/>
  <c r="D21" i="11"/>
  <c r="K15" i="18" s="1"/>
  <c r="D20" i="11"/>
  <c r="D15" i="18" s="1"/>
  <c r="C21" i="11"/>
  <c r="C20" i="11"/>
  <c r="D19" i="11"/>
  <c r="C19" i="11"/>
  <c r="D18" i="11"/>
  <c r="I15" i="18" s="1"/>
  <c r="C18" i="11"/>
  <c r="D17" i="11"/>
  <c r="H15" i="18" s="1"/>
  <c r="C17" i="11"/>
  <c r="D16" i="11"/>
  <c r="G15" i="18" s="1"/>
  <c r="C16" i="11"/>
  <c r="J15" i="18" l="1"/>
  <c r="F15" i="18"/>
  <c r="E15" i="18"/>
  <c r="F53" i="7"/>
  <c r="F54" i="7" s="1"/>
  <c r="V45" i="24"/>
  <c r="T45" i="24"/>
  <c r="S45" i="24"/>
  <c r="R45" i="24"/>
  <c r="Q45" i="24"/>
  <c r="P45" i="24"/>
  <c r="C100" i="24"/>
  <c r="C99" i="24"/>
  <c r="C98" i="24"/>
  <c r="C97" i="24"/>
  <c r="C96" i="24"/>
  <c r="C95" i="24"/>
  <c r="C94" i="24"/>
  <c r="C15" i="38"/>
  <c r="E32" i="11" l="1"/>
  <c r="C18" i="38" l="1"/>
  <c r="C19" i="38" s="1"/>
  <c r="F29" i="38" s="1"/>
  <c r="G29" i="38" s="1"/>
  <c r="Q51" i="18" s="1"/>
  <c r="C15" i="30"/>
  <c r="C13" i="38"/>
  <c r="C16" i="38" s="1"/>
  <c r="K17" i="30"/>
  <c r="C17" i="38" l="1"/>
  <c r="D32" i="16" s="1"/>
  <c r="F32" i="16"/>
  <c r="F24" i="38"/>
  <c r="G24" i="38" s="1"/>
  <c r="L51" i="18" s="1"/>
  <c r="F26" i="38"/>
  <c r="G26" i="38" s="1"/>
  <c r="M51" i="18" s="1"/>
  <c r="F28" i="38"/>
  <c r="G28" i="38" s="1"/>
  <c r="R51" i="18" s="1"/>
  <c r="F30" i="38"/>
  <c r="G30" i="38" s="1"/>
  <c r="S51" i="18" s="1"/>
  <c r="F23" i="38"/>
  <c r="G23" i="38" s="1"/>
  <c r="O51" i="18" s="1"/>
  <c r="F25" i="38"/>
  <c r="G25" i="38" s="1"/>
  <c r="P51" i="18" s="1"/>
  <c r="F27" i="38"/>
  <c r="G27" i="38" s="1"/>
  <c r="N51" i="18" s="1"/>
  <c r="D23" i="38"/>
  <c r="E23" i="38" s="1"/>
  <c r="G51" i="18" s="1"/>
  <c r="S48" i="18"/>
  <c r="R48" i="18"/>
  <c r="Q48" i="18"/>
  <c r="P48" i="18"/>
  <c r="O48" i="18"/>
  <c r="N48" i="18"/>
  <c r="M48" i="18"/>
  <c r="K48" i="18"/>
  <c r="N22" i="30"/>
  <c r="N21" i="30"/>
  <c r="O21" i="30" s="1"/>
  <c r="N20" i="30"/>
  <c r="N19" i="30"/>
  <c r="N18" i="30"/>
  <c r="N17" i="30"/>
  <c r="O17" i="30" s="1"/>
  <c r="L48" i="18" s="1"/>
  <c r="N16" i="30"/>
  <c r="K7" i="30"/>
  <c r="K8" i="30"/>
  <c r="O22" i="30"/>
  <c r="O20" i="30"/>
  <c r="O19" i="30"/>
  <c r="O18" i="30"/>
  <c r="O16" i="30"/>
  <c r="E11" i="17"/>
  <c r="P11" i="17" s="1"/>
  <c r="Q11" i="17"/>
  <c r="S11" i="17"/>
  <c r="T11" i="17"/>
  <c r="U11" i="17"/>
  <c r="V11" i="17"/>
  <c r="W11" i="17"/>
  <c r="F53" i="24"/>
  <c r="C53" i="24"/>
  <c r="D53" i="24" s="1"/>
  <c r="F80" i="24"/>
  <c r="C80" i="24"/>
  <c r="D80" i="24" s="1"/>
  <c r="C84" i="24"/>
  <c r="D84" i="24" s="1"/>
  <c r="F84" i="24"/>
  <c r="R11" i="17" l="1"/>
  <c r="D26" i="38"/>
  <c r="E26" i="38" s="1"/>
  <c r="E51" i="18" s="1"/>
  <c r="D25" i="38"/>
  <c r="E25" i="38" s="1"/>
  <c r="H51" i="18" s="1"/>
  <c r="D28" i="38"/>
  <c r="E28" i="38" s="1"/>
  <c r="J51" i="18" s="1"/>
  <c r="D24" i="38"/>
  <c r="E24" i="38" s="1"/>
  <c r="I22" i="38" s="1"/>
  <c r="D27" i="38"/>
  <c r="E27" i="38" s="1"/>
  <c r="F51" i="18" s="1"/>
  <c r="D29" i="38"/>
  <c r="E29" i="38" s="1"/>
  <c r="I51" i="18" s="1"/>
  <c r="D30" i="38"/>
  <c r="E30" i="38" s="1"/>
  <c r="K51" i="18" s="1"/>
  <c r="J32" i="16"/>
  <c r="K32" i="16" s="1"/>
  <c r="R32" i="16"/>
  <c r="S32" i="16" s="1"/>
  <c r="N32" i="16"/>
  <c r="O32" i="16" s="1"/>
  <c r="T80" i="24"/>
  <c r="T81" i="24" s="1"/>
  <c r="Q29" i="18" s="1"/>
  <c r="R80" i="24"/>
  <c r="P80" i="24"/>
  <c r="V80" i="24"/>
  <c r="V81" i="24" s="1"/>
  <c r="S29" i="18" s="1"/>
  <c r="S80" i="24"/>
  <c r="S81" i="24" s="1"/>
  <c r="P29" i="18" s="1"/>
  <c r="Q80" i="24"/>
  <c r="Q81" i="24" s="1"/>
  <c r="L29" i="18" s="1"/>
  <c r="V84" i="24"/>
  <c r="S84" i="24"/>
  <c r="Q84" i="24"/>
  <c r="T84" i="24"/>
  <c r="R84" i="24"/>
  <c r="P84" i="24"/>
  <c r="U84" i="24" s="1"/>
  <c r="V53" i="24"/>
  <c r="S53" i="24"/>
  <c r="Q53" i="24"/>
  <c r="T53" i="24"/>
  <c r="R53" i="24"/>
  <c r="P53" i="24"/>
  <c r="F81" i="24"/>
  <c r="F82" i="24" s="1"/>
  <c r="U53" i="24"/>
  <c r="R81" i="24"/>
  <c r="O29" i="18" s="1"/>
  <c r="U20" i="17"/>
  <c r="T20" i="17"/>
  <c r="S20" i="17"/>
  <c r="E20" i="17"/>
  <c r="W20" i="17" s="1"/>
  <c r="F48" i="24"/>
  <c r="C48" i="24"/>
  <c r="D48" i="24" s="1"/>
  <c r="F22" i="24"/>
  <c r="C22" i="24"/>
  <c r="D22" i="24" s="1"/>
  <c r="E15" i="17"/>
  <c r="P15" i="17" s="1"/>
  <c r="S15" i="17"/>
  <c r="T15" i="17"/>
  <c r="U15" i="17"/>
  <c r="K34" i="14"/>
  <c r="I34" i="14"/>
  <c r="D51" i="18" l="1"/>
  <c r="T48" i="24"/>
  <c r="R48" i="24"/>
  <c r="P48" i="24"/>
  <c r="U48" i="24" s="1"/>
  <c r="V48" i="24"/>
  <c r="S48" i="24"/>
  <c r="Q48" i="24"/>
  <c r="V22" i="24"/>
  <c r="S22" i="24"/>
  <c r="Q22" i="24"/>
  <c r="T22" i="24"/>
  <c r="P22" i="24"/>
  <c r="R22" i="24"/>
  <c r="U80" i="24"/>
  <c r="U81" i="24" s="1"/>
  <c r="R29" i="18" s="1"/>
  <c r="V15" i="17"/>
  <c r="R15" i="17"/>
  <c r="P20" i="17"/>
  <c r="R20" i="17"/>
  <c r="V20" i="17"/>
  <c r="W15" i="17"/>
  <c r="Q15" i="17"/>
  <c r="Q20" i="17"/>
  <c r="U22" i="24"/>
  <c r="C9" i="1"/>
  <c r="F11" i="8" l="1"/>
  <c r="B11" i="8"/>
  <c r="F21" i="24" l="1"/>
  <c r="C21" i="24"/>
  <c r="D21" i="24" s="1"/>
  <c r="V21" i="24" l="1"/>
  <c r="S21" i="24"/>
  <c r="Q21" i="24"/>
  <c r="R21" i="24"/>
  <c r="T21" i="24"/>
  <c r="P21" i="24"/>
  <c r="U21" i="24" s="1"/>
  <c r="G48" i="24"/>
  <c r="G49" i="24"/>
  <c r="F14" i="13" l="1"/>
  <c r="P12" i="38" l="1"/>
  <c r="F16" i="13" s="1"/>
  <c r="O12" i="38"/>
  <c r="F15" i="13" s="1"/>
  <c r="J19" i="12"/>
  <c r="F34" i="12"/>
  <c r="D10" i="12"/>
  <c r="D7" i="12"/>
  <c r="D21" i="12" s="1"/>
  <c r="D22" i="12" l="1"/>
  <c r="D12" i="12"/>
  <c r="D17" i="12" l="1"/>
  <c r="D23" i="12"/>
  <c r="D25" i="12" s="1"/>
  <c r="D27" i="12" s="1"/>
  <c r="D29" i="12" s="1"/>
  <c r="J34" i="12"/>
  <c r="K7" i="12" s="1"/>
  <c r="K8" i="12" s="1"/>
  <c r="K10" i="12" s="1"/>
  <c r="I49" i="18" l="1"/>
  <c r="J23" i="12"/>
  <c r="K11" i="12"/>
  <c r="J21" i="12"/>
  <c r="Q49" i="18" s="1"/>
  <c r="D37" i="12"/>
  <c r="Q50" i="18" s="1"/>
  <c r="I50" i="18"/>
  <c r="D30" i="12"/>
  <c r="D31" i="12"/>
  <c r="D38" i="12" l="1"/>
  <c r="M50" i="18" s="1"/>
  <c r="E50" i="18"/>
  <c r="D33" i="20"/>
  <c r="E33" i="20" s="1"/>
  <c r="C19" i="20"/>
  <c r="J50" i="18" l="1"/>
  <c r="F50" i="18"/>
  <c r="R50" i="18"/>
  <c r="N50" i="18"/>
  <c r="F16" i="14"/>
  <c r="S11" i="20"/>
  <c r="T11" i="20" s="1"/>
  <c r="K13" i="20"/>
  <c r="L13" i="20" s="1"/>
  <c r="O10" i="20"/>
  <c r="P10" i="20" s="1"/>
  <c r="B107" i="21"/>
  <c r="B46" i="13"/>
  <c r="I10" i="13"/>
  <c r="J10" i="13" s="1"/>
  <c r="K10" i="13" s="1"/>
  <c r="G20" i="24"/>
  <c r="U10" i="17"/>
  <c r="S10" i="17"/>
  <c r="T10" i="17"/>
  <c r="U21" i="17"/>
  <c r="U19" i="17"/>
  <c r="U18" i="17"/>
  <c r="U17" i="17"/>
  <c r="U16" i="17"/>
  <c r="U14" i="17"/>
  <c r="U13" i="17"/>
  <c r="U12" i="17"/>
  <c r="T21" i="17"/>
  <c r="T19" i="17"/>
  <c r="T18" i="17"/>
  <c r="T17" i="17"/>
  <c r="T16" i="17"/>
  <c r="T14" i="17"/>
  <c r="T13" i="17"/>
  <c r="T12" i="17"/>
  <c r="S21" i="17"/>
  <c r="S19" i="17"/>
  <c r="S18" i="17"/>
  <c r="S17" i="17"/>
  <c r="S16" i="17"/>
  <c r="S14" i="17"/>
  <c r="S13" i="17"/>
  <c r="S12" i="17"/>
  <c r="E10" i="17"/>
  <c r="R10" i="17" s="1"/>
  <c r="E12" i="17"/>
  <c r="R12" i="17" s="1"/>
  <c r="E13" i="17"/>
  <c r="R13" i="17" s="1"/>
  <c r="E14" i="17"/>
  <c r="R14" i="17" s="1"/>
  <c r="E16" i="17"/>
  <c r="R16" i="17" s="1"/>
  <c r="E17" i="17"/>
  <c r="V17" i="17" s="1"/>
  <c r="E18" i="17"/>
  <c r="R18" i="17" s="1"/>
  <c r="E19" i="17"/>
  <c r="W19" i="17" s="1"/>
  <c r="E21" i="17"/>
  <c r="R21" i="17" s="1"/>
  <c r="G34" i="24"/>
  <c r="F14" i="24"/>
  <c r="F18" i="24"/>
  <c r="F19" i="24"/>
  <c r="F20" i="24"/>
  <c r="F26" i="24"/>
  <c r="F39" i="24"/>
  <c r="F37" i="24"/>
  <c r="F35" i="24"/>
  <c r="F34" i="24"/>
  <c r="F33" i="24"/>
  <c r="F32" i="24"/>
  <c r="G74" i="24"/>
  <c r="I21" i="13"/>
  <c r="J21" i="13" s="1"/>
  <c r="K21" i="13" s="1"/>
  <c r="I22" i="13"/>
  <c r="J22" i="13" s="1"/>
  <c r="K22" i="13" s="1"/>
  <c r="G62" i="24"/>
  <c r="F19" i="17"/>
  <c r="G35" i="24"/>
  <c r="G52" i="24"/>
  <c r="G55" i="24"/>
  <c r="G18" i="24"/>
  <c r="G53" i="24"/>
  <c r="H53" i="24" s="1"/>
  <c r="G23" i="24"/>
  <c r="G19" i="24"/>
  <c r="G45" i="24"/>
  <c r="H45" i="24" s="1"/>
  <c r="L45" i="24" s="1"/>
  <c r="G26" i="24"/>
  <c r="G46" i="24"/>
  <c r="G47" i="24"/>
  <c r="G44" i="24"/>
  <c r="G10" i="24"/>
  <c r="G11" i="24" s="1"/>
  <c r="G65" i="24"/>
  <c r="G61" i="24"/>
  <c r="G63" i="24"/>
  <c r="G21" i="24"/>
  <c r="H21" i="24" s="1"/>
  <c r="F10" i="17"/>
  <c r="L10" i="17" s="1"/>
  <c r="G72" i="24"/>
  <c r="G80" i="24"/>
  <c r="F16" i="17"/>
  <c r="J16" i="17" s="1"/>
  <c r="G66" i="24"/>
  <c r="G68" i="24"/>
  <c r="G60" i="24"/>
  <c r="F13" i="17"/>
  <c r="G69" i="24"/>
  <c r="G33" i="24"/>
  <c r="G32" i="24"/>
  <c r="F11" i="17"/>
  <c r="F18" i="17"/>
  <c r="F17" i="17"/>
  <c r="F12" i="17"/>
  <c r="I12" i="17" s="1"/>
  <c r="G22" i="24"/>
  <c r="G75" i="24"/>
  <c r="F14" i="17"/>
  <c r="G14" i="24"/>
  <c r="G24" i="24"/>
  <c r="G70" i="24"/>
  <c r="G50" i="24"/>
  <c r="G76" i="24"/>
  <c r="G51" i="24"/>
  <c r="G40" i="24"/>
  <c r="G73" i="24"/>
  <c r="G38" i="24"/>
  <c r="G28" i="24"/>
  <c r="G54" i="24"/>
  <c r="F21" i="17"/>
  <c r="G85" i="24"/>
  <c r="G84" i="24"/>
  <c r="H84" i="24" s="1"/>
  <c r="G39" i="24"/>
  <c r="G67" i="24"/>
  <c r="G25" i="24"/>
  <c r="F20" i="17"/>
  <c r="G64" i="24"/>
  <c r="G36" i="24"/>
  <c r="G27" i="24"/>
  <c r="F8" i="7"/>
  <c r="H8" i="7" s="1"/>
  <c r="F10" i="8"/>
  <c r="C17" i="15"/>
  <c r="D15" i="16" s="1"/>
  <c r="D32" i="20"/>
  <c r="E32" i="20" s="1"/>
  <c r="C64" i="24"/>
  <c r="D64" i="24" s="1"/>
  <c r="F64" i="24" s="1"/>
  <c r="I19" i="13"/>
  <c r="J19" i="13" s="1"/>
  <c r="K19" i="13" s="1"/>
  <c r="D12" i="7"/>
  <c r="I5" i="1"/>
  <c r="I4" i="1"/>
  <c r="C6" i="1"/>
  <c r="C52" i="1" s="1"/>
  <c r="C53" i="1" s="1"/>
  <c r="C9" i="15"/>
  <c r="C32" i="1"/>
  <c r="C33" i="1" s="1"/>
  <c r="C34" i="1" s="1"/>
  <c r="X13" i="1" s="1"/>
  <c r="D36" i="20"/>
  <c r="C67" i="24"/>
  <c r="D67" i="24" s="1"/>
  <c r="F67" i="24" s="1"/>
  <c r="F76" i="24"/>
  <c r="C76" i="24"/>
  <c r="D76" i="24" s="1"/>
  <c r="F55" i="24"/>
  <c r="C55" i="24"/>
  <c r="D55" i="24" s="1"/>
  <c r="F54" i="24"/>
  <c r="C54" i="24"/>
  <c r="D54" i="24" s="1"/>
  <c r="F75" i="24"/>
  <c r="C75" i="24"/>
  <c r="D75" i="24" s="1"/>
  <c r="C52" i="24"/>
  <c r="D52" i="24" s="1"/>
  <c r="F52" i="24"/>
  <c r="F85" i="24"/>
  <c r="C85" i="24"/>
  <c r="D85" i="24" s="1"/>
  <c r="D27" i="30"/>
  <c r="C7" i="30"/>
  <c r="C8" i="30" s="1"/>
  <c r="F21" i="30" s="1"/>
  <c r="G21" i="30" s="1"/>
  <c r="R47" i="18" s="1"/>
  <c r="C36" i="24"/>
  <c r="D36" i="24" s="1"/>
  <c r="C28" i="24"/>
  <c r="D28" i="24" s="1"/>
  <c r="C27" i="24"/>
  <c r="D27" i="24" s="1"/>
  <c r="C25" i="24"/>
  <c r="D25" i="24" s="1"/>
  <c r="C24" i="24"/>
  <c r="D24" i="24" s="1"/>
  <c r="C23" i="24"/>
  <c r="D23" i="24" s="1"/>
  <c r="C20" i="24"/>
  <c r="D20" i="24" s="1"/>
  <c r="C19" i="24"/>
  <c r="D19" i="24" s="1"/>
  <c r="C18" i="24"/>
  <c r="D18" i="24" s="1"/>
  <c r="F28" i="24"/>
  <c r="F27" i="24"/>
  <c r="F40" i="24"/>
  <c r="F51" i="24"/>
  <c r="F50" i="24"/>
  <c r="C51" i="24"/>
  <c r="D51" i="24" s="1"/>
  <c r="C50" i="24"/>
  <c r="D50" i="24" s="1"/>
  <c r="C40" i="24"/>
  <c r="D40" i="24" s="1"/>
  <c r="S46" i="18"/>
  <c r="K14" i="20"/>
  <c r="L14" i="20" s="1"/>
  <c r="S12" i="20"/>
  <c r="T12" i="20" s="1"/>
  <c r="M11" i="20"/>
  <c r="N11" i="20" s="1"/>
  <c r="G9" i="20"/>
  <c r="H9" i="20" s="1"/>
  <c r="Q16" i="20"/>
  <c r="D30" i="20"/>
  <c r="E30" i="20" s="1"/>
  <c r="D31" i="20"/>
  <c r="E31" i="20" s="1"/>
  <c r="B63" i="20"/>
  <c r="B64" i="20" s="1"/>
  <c r="B59" i="20"/>
  <c r="B60" i="20" s="1"/>
  <c r="S7" i="18"/>
  <c r="S8" i="18" s="1"/>
  <c r="R7" i="18"/>
  <c r="R8" i="18" s="1"/>
  <c r="Q7" i="18"/>
  <c r="Q8" i="18" s="1"/>
  <c r="P7" i="18"/>
  <c r="P8" i="18" s="1"/>
  <c r="O7" i="18"/>
  <c r="O8" i="18" s="1"/>
  <c r="N7" i="18"/>
  <c r="N8" i="18" s="1"/>
  <c r="L7" i="18"/>
  <c r="L8" i="18" s="1"/>
  <c r="M7" i="18"/>
  <c r="M8" i="18" s="1"/>
  <c r="F74" i="24"/>
  <c r="C74" i="24"/>
  <c r="D74" i="24" s="1"/>
  <c r="F73" i="24"/>
  <c r="C73" i="24"/>
  <c r="D73" i="24" s="1"/>
  <c r="C72" i="24"/>
  <c r="D72" i="24" s="1"/>
  <c r="F72" i="24" s="1"/>
  <c r="C70" i="24"/>
  <c r="D70" i="24" s="1"/>
  <c r="F70" i="24" s="1"/>
  <c r="C69" i="24"/>
  <c r="D69" i="24" s="1"/>
  <c r="F69" i="24" s="1"/>
  <c r="C68" i="24"/>
  <c r="D68" i="24" s="1"/>
  <c r="F68" i="24" s="1"/>
  <c r="C66" i="24"/>
  <c r="D66" i="24" s="1"/>
  <c r="F66" i="24" s="1"/>
  <c r="C65" i="24"/>
  <c r="D65" i="24" s="1"/>
  <c r="F65" i="24" s="1"/>
  <c r="C63" i="24"/>
  <c r="D63" i="24" s="1"/>
  <c r="F63" i="24" s="1"/>
  <c r="C62" i="24"/>
  <c r="D62" i="24" s="1"/>
  <c r="F62" i="24" s="1"/>
  <c r="C61" i="24"/>
  <c r="D61" i="24" s="1"/>
  <c r="F61" i="24" s="1"/>
  <c r="C60" i="24"/>
  <c r="D60" i="24" s="1"/>
  <c r="F60" i="24" s="1"/>
  <c r="C59" i="24"/>
  <c r="D59" i="24" s="1"/>
  <c r="F59" i="24" s="1"/>
  <c r="F49" i="24"/>
  <c r="C49" i="24"/>
  <c r="D49" i="24" s="1"/>
  <c r="F47" i="24"/>
  <c r="C47" i="24"/>
  <c r="D47" i="24" s="1"/>
  <c r="C46" i="24"/>
  <c r="D46" i="24" s="1"/>
  <c r="F46" i="24" s="1"/>
  <c r="U45" i="24"/>
  <c r="C45" i="24"/>
  <c r="D45" i="24" s="1"/>
  <c r="C44" i="24"/>
  <c r="D44" i="24" s="1"/>
  <c r="F44" i="24" s="1"/>
  <c r="C39" i="24"/>
  <c r="D39" i="24" s="1"/>
  <c r="F38" i="24"/>
  <c r="C38" i="24"/>
  <c r="D38" i="24" s="1"/>
  <c r="C37" i="24"/>
  <c r="D37" i="24" s="1"/>
  <c r="F36" i="24"/>
  <c r="C35" i="24"/>
  <c r="D35" i="24" s="1"/>
  <c r="C34" i="24"/>
  <c r="D34" i="24" s="1"/>
  <c r="C33" i="24"/>
  <c r="D33" i="24" s="1"/>
  <c r="C32" i="24"/>
  <c r="D32" i="24" s="1"/>
  <c r="C26" i="24"/>
  <c r="D26" i="24" s="1"/>
  <c r="F25" i="24"/>
  <c r="F24" i="24"/>
  <c r="F23" i="24"/>
  <c r="C14" i="24"/>
  <c r="D14" i="24" s="1"/>
  <c r="F10" i="24"/>
  <c r="F35" i="14"/>
  <c r="G35" i="14" s="1"/>
  <c r="H35" i="14" s="1"/>
  <c r="F34" i="14"/>
  <c r="S34" i="14" s="1"/>
  <c r="T34" i="14" s="1"/>
  <c r="F33" i="14"/>
  <c r="F32" i="14"/>
  <c r="S32" i="14" s="1"/>
  <c r="T32" i="14" s="1"/>
  <c r="F31" i="14"/>
  <c r="S31" i="14"/>
  <c r="F30" i="14"/>
  <c r="S30" i="14"/>
  <c r="T30" i="14" s="1"/>
  <c r="F29" i="14"/>
  <c r="S29" i="14" s="1"/>
  <c r="F28" i="14"/>
  <c r="M28" i="14" s="1"/>
  <c r="N28" i="14" s="1"/>
  <c r="F26" i="14"/>
  <c r="D36" i="14"/>
  <c r="D18" i="14"/>
  <c r="S31" i="20"/>
  <c r="T31" i="20" s="1"/>
  <c r="O31" i="20"/>
  <c r="P31" i="20" s="1"/>
  <c r="S16" i="20"/>
  <c r="T16" i="20" s="1"/>
  <c r="O16" i="20"/>
  <c r="P16" i="20" s="1"/>
  <c r="F11" i="14"/>
  <c r="M16" i="20"/>
  <c r="N16" i="20" s="1"/>
  <c r="Q36" i="20"/>
  <c r="R36" i="20" s="1"/>
  <c r="D29" i="20"/>
  <c r="E29" i="20" s="1"/>
  <c r="D28" i="20"/>
  <c r="D27" i="20"/>
  <c r="I32" i="13"/>
  <c r="J32" i="13" s="1"/>
  <c r="K32" i="13" s="1"/>
  <c r="F31" i="13"/>
  <c r="I31" i="13" s="1"/>
  <c r="J31" i="13" s="1"/>
  <c r="K31" i="13" s="1"/>
  <c r="F30" i="13"/>
  <c r="I30" i="13" s="1"/>
  <c r="J30" i="13" s="1"/>
  <c r="K30" i="13" s="1"/>
  <c r="I12" i="13"/>
  <c r="J12" i="13" s="1"/>
  <c r="K12" i="13" s="1"/>
  <c r="I39" i="18" s="1"/>
  <c r="I11" i="13"/>
  <c r="J11" i="13" s="1"/>
  <c r="K11" i="13" s="1"/>
  <c r="H12" i="7"/>
  <c r="H26" i="7" s="1"/>
  <c r="D13" i="7"/>
  <c r="J26" i="1"/>
  <c r="J27" i="1" s="1"/>
  <c r="AC26" i="1" s="1"/>
  <c r="I26" i="1"/>
  <c r="I27" i="1" s="1"/>
  <c r="G27" i="1"/>
  <c r="AC24" i="1" s="1"/>
  <c r="E27" i="1"/>
  <c r="D31" i="11"/>
  <c r="E31" i="11" s="1"/>
  <c r="D32" i="11"/>
  <c r="D33" i="11"/>
  <c r="E33" i="11" s="1"/>
  <c r="D34" i="11"/>
  <c r="E34" i="11" s="1"/>
  <c r="D35" i="11"/>
  <c r="D36" i="11"/>
  <c r="E36" i="11" s="1"/>
  <c r="D14" i="1"/>
  <c r="E14" i="1"/>
  <c r="E15" i="1" s="1"/>
  <c r="C14" i="1"/>
  <c r="C15" i="1" s="1"/>
  <c r="E9" i="1"/>
  <c r="D9" i="1"/>
  <c r="B23" i="8"/>
  <c r="P10" i="1"/>
  <c r="P9" i="1"/>
  <c r="P8" i="1"/>
  <c r="P7" i="1"/>
  <c r="P6" i="1"/>
  <c r="P5" i="1"/>
  <c r="D26" i="1"/>
  <c r="D27" i="1" s="1"/>
  <c r="O11" i="18" s="1"/>
  <c r="C26" i="1"/>
  <c r="C27" i="1" s="1"/>
  <c r="O9" i="18" s="1"/>
  <c r="E13" i="1"/>
  <c r="D13" i="1"/>
  <c r="C13" i="1"/>
  <c r="T30" i="1"/>
  <c r="N30" i="1"/>
  <c r="N20" i="1"/>
  <c r="N19" i="1" s="1"/>
  <c r="N23" i="1" s="1"/>
  <c r="N28" i="1" s="1"/>
  <c r="N29" i="1" s="1"/>
  <c r="M20" i="1"/>
  <c r="M19" i="1" s="1"/>
  <c r="M23" i="1" s="1"/>
  <c r="M28" i="1" s="1"/>
  <c r="M29" i="1" s="1"/>
  <c r="S30" i="1"/>
  <c r="R30" i="1"/>
  <c r="P30" i="1"/>
  <c r="O30" i="1"/>
  <c r="M30" i="1"/>
  <c r="L30" i="1"/>
  <c r="M21" i="1"/>
  <c r="M26" i="1" s="1"/>
  <c r="L21" i="1"/>
  <c r="L26" i="1" s="1"/>
  <c r="P21" i="1"/>
  <c r="S21" i="1"/>
  <c r="S26" i="1" s="1"/>
  <c r="O21" i="1"/>
  <c r="R21" i="1" s="1"/>
  <c r="R26" i="1"/>
  <c r="R27" i="1" s="1"/>
  <c r="P20" i="1"/>
  <c r="O20" i="1"/>
  <c r="L20" i="1"/>
  <c r="L19" i="1" s="1"/>
  <c r="E29" i="7"/>
  <c r="K6" i="18" s="1"/>
  <c r="E26" i="7"/>
  <c r="G6" i="18" s="1"/>
  <c r="E27" i="7"/>
  <c r="H6" i="18" s="1"/>
  <c r="E31" i="8"/>
  <c r="G7" i="18" s="1"/>
  <c r="E34" i="8"/>
  <c r="K7" i="18" s="1"/>
  <c r="K8" i="18" s="1"/>
  <c r="E32" i="8"/>
  <c r="H7" i="18" s="1"/>
  <c r="C16" i="15"/>
  <c r="D14" i="8"/>
  <c r="D22" i="8"/>
  <c r="D13" i="8"/>
  <c r="B9" i="7"/>
  <c r="E22" i="1"/>
  <c r="E24" i="1"/>
  <c r="E25" i="1" s="1"/>
  <c r="K22" i="1"/>
  <c r="K24" i="1" s="1"/>
  <c r="K25" i="1" s="1"/>
  <c r="K13" i="18" s="1"/>
  <c r="H22" i="1"/>
  <c r="H24" i="1" s="1"/>
  <c r="H25" i="1" s="1"/>
  <c r="E32" i="1"/>
  <c r="E33" i="1" s="1"/>
  <c r="E34" i="1" s="1"/>
  <c r="K32" i="1"/>
  <c r="K33" i="1"/>
  <c r="K34" i="1" s="1"/>
  <c r="H32" i="1"/>
  <c r="H33" i="1" s="1"/>
  <c r="H34" i="1" s="1"/>
  <c r="H14" i="18" s="1"/>
  <c r="C12" i="15"/>
  <c r="D7" i="1"/>
  <c r="C11" i="15"/>
  <c r="D10" i="1"/>
  <c r="D11" i="1"/>
  <c r="D9" i="16" s="1"/>
  <c r="D22" i="1"/>
  <c r="D24" i="1"/>
  <c r="D25" i="1" s="1"/>
  <c r="J22" i="1"/>
  <c r="G22" i="1"/>
  <c r="G24" i="1" s="1"/>
  <c r="G25" i="1" s="1"/>
  <c r="D32" i="1"/>
  <c r="J32" i="1"/>
  <c r="J33" i="1" s="1"/>
  <c r="J34" i="1" s="1"/>
  <c r="G32" i="1"/>
  <c r="G33" i="1" s="1"/>
  <c r="G34" i="1" s="1"/>
  <c r="H12" i="18" s="1"/>
  <c r="C22" i="1"/>
  <c r="C24" i="1" s="1"/>
  <c r="C25" i="1" s="1"/>
  <c r="AB13" i="1" s="1"/>
  <c r="AF13" i="1" s="1"/>
  <c r="I22" i="1"/>
  <c r="I24" i="1" s="1"/>
  <c r="I25" i="1" s="1"/>
  <c r="F22" i="1"/>
  <c r="F24" i="1" s="1"/>
  <c r="F25" i="1" s="1"/>
  <c r="I32" i="1"/>
  <c r="I33" i="1" s="1"/>
  <c r="I34" i="1" s="1"/>
  <c r="K10" i="18" s="1"/>
  <c r="F32" i="1"/>
  <c r="F33" i="1" s="1"/>
  <c r="J35" i="1"/>
  <c r="J36" i="1" s="1"/>
  <c r="F35" i="1"/>
  <c r="F36" i="1" s="1"/>
  <c r="Y14" i="1" s="1"/>
  <c r="H35" i="1"/>
  <c r="H36" i="1" s="1"/>
  <c r="K35" i="1"/>
  <c r="K36" i="1" s="1"/>
  <c r="C54" i="1"/>
  <c r="C55" i="1" s="1"/>
  <c r="Y12" i="1" s="1"/>
  <c r="E54" i="1"/>
  <c r="E55" i="1"/>
  <c r="I35" i="1"/>
  <c r="I36" i="1" s="1"/>
  <c r="S10" i="18" s="1"/>
  <c r="B10" i="8"/>
  <c r="E19" i="8" s="1"/>
  <c r="G13" i="8"/>
  <c r="H19" i="8" s="1"/>
  <c r="G16" i="20"/>
  <c r="H16" i="20" s="1"/>
  <c r="K16" i="20"/>
  <c r="L16" i="20" s="1"/>
  <c r="E16" i="20"/>
  <c r="F16" i="20" s="1"/>
  <c r="R16" i="20"/>
  <c r="I16" i="20"/>
  <c r="J16" i="20" s="1"/>
  <c r="K36" i="20"/>
  <c r="L36" i="20" s="1"/>
  <c r="G30" i="14"/>
  <c r="H30" i="14" s="1"/>
  <c r="S26" i="14"/>
  <c r="T26" i="14" s="1"/>
  <c r="S20" i="18" s="1"/>
  <c r="S33" i="14"/>
  <c r="T33" i="14" s="1"/>
  <c r="S28" i="14"/>
  <c r="T28" i="14" s="1"/>
  <c r="I26" i="14"/>
  <c r="J26" i="14" s="1"/>
  <c r="O20" i="18" s="1"/>
  <c r="Q26" i="14"/>
  <c r="R26" i="14" s="1"/>
  <c r="R20" i="18" s="1"/>
  <c r="M30" i="14"/>
  <c r="N30" i="14" s="1"/>
  <c r="K30" i="14"/>
  <c r="L30" i="14" s="1"/>
  <c r="I30" i="14"/>
  <c r="J30" i="14" s="1"/>
  <c r="I28" i="14"/>
  <c r="J28" i="14" s="1"/>
  <c r="Q35" i="14"/>
  <c r="R35" i="14" s="1"/>
  <c r="Q30" i="14"/>
  <c r="R30" i="14" s="1"/>
  <c r="O30" i="14"/>
  <c r="P30" i="14" s="1"/>
  <c r="O31" i="14"/>
  <c r="P31" i="14" s="1"/>
  <c r="O33" i="14"/>
  <c r="P33" i="14" s="1"/>
  <c r="E36" i="20"/>
  <c r="F36" i="20" s="1"/>
  <c r="I29" i="20"/>
  <c r="J29" i="20" s="1"/>
  <c r="I28" i="20"/>
  <c r="J28" i="20" s="1"/>
  <c r="G28" i="20"/>
  <c r="M29" i="20"/>
  <c r="N29" i="20" s="1"/>
  <c r="C38" i="20"/>
  <c r="I36" i="20"/>
  <c r="J36" i="20" s="1"/>
  <c r="G36" i="20"/>
  <c r="H36" i="20" s="1"/>
  <c r="O28" i="20"/>
  <c r="P28" i="20" s="1"/>
  <c r="S36" i="20"/>
  <c r="T36" i="20" s="1"/>
  <c r="M36" i="20"/>
  <c r="N36" i="20" s="1"/>
  <c r="C15" i="15"/>
  <c r="F12" i="14"/>
  <c r="Q27" i="20"/>
  <c r="R27" i="20"/>
  <c r="F31" i="20"/>
  <c r="O36" i="20"/>
  <c r="P36" i="20" s="1"/>
  <c r="L10" i="18"/>
  <c r="S31" i="18"/>
  <c r="P14" i="18"/>
  <c r="Y34" i="1"/>
  <c r="O35" i="1"/>
  <c r="R35" i="1"/>
  <c r="R36" i="1" s="1"/>
  <c r="R10" i="18" s="1"/>
  <c r="Q35" i="1"/>
  <c r="P35" i="1"/>
  <c r="E35" i="1"/>
  <c r="E36" i="1" s="1"/>
  <c r="C35" i="1"/>
  <c r="C36" i="1" s="1"/>
  <c r="D35" i="1"/>
  <c r="D36" i="1" s="1"/>
  <c r="O12" i="18" s="1"/>
  <c r="N35" i="1"/>
  <c r="N36" i="1"/>
  <c r="Y35" i="1" s="1"/>
  <c r="L35" i="1"/>
  <c r="L36" i="1" s="1"/>
  <c r="Y15" i="1" s="1"/>
  <c r="M35" i="1"/>
  <c r="M36" i="1" s="1"/>
  <c r="G26" i="14"/>
  <c r="H26" i="14" s="1"/>
  <c r="L20" i="18" s="1"/>
  <c r="K26" i="14"/>
  <c r="L26" i="14" s="1"/>
  <c r="P20" i="18" s="1"/>
  <c r="O26" i="14"/>
  <c r="P26" i="14" s="1"/>
  <c r="N20" i="18" s="1"/>
  <c r="I31" i="14"/>
  <c r="J31" i="14" s="1"/>
  <c r="M31" i="14"/>
  <c r="N31" i="14" s="1"/>
  <c r="K31" i="14"/>
  <c r="L31" i="14" s="1"/>
  <c r="M35" i="14"/>
  <c r="N35" i="14" s="1"/>
  <c r="I35" i="14"/>
  <c r="J35" i="14" s="1"/>
  <c r="M31" i="20"/>
  <c r="N31" i="20" s="1"/>
  <c r="I31" i="20"/>
  <c r="J31" i="20" s="1"/>
  <c r="K31" i="20"/>
  <c r="L31" i="20" s="1"/>
  <c r="Q31" i="20"/>
  <c r="R31" i="20" s="1"/>
  <c r="G31" i="20"/>
  <c r="H31" i="20" s="1"/>
  <c r="M26" i="14"/>
  <c r="N26" i="14" s="1"/>
  <c r="Q20" i="18" s="1"/>
  <c r="D54" i="1"/>
  <c r="D55" i="1" s="1"/>
  <c r="G35" i="1"/>
  <c r="G36" i="1" s="1"/>
  <c r="M29" i="14"/>
  <c r="N29" i="14" s="1"/>
  <c r="K29" i="14"/>
  <c r="L29" i="14" s="1"/>
  <c r="G33" i="14"/>
  <c r="H33" i="14" s="1"/>
  <c r="Q33" i="14"/>
  <c r="R33" i="14" s="1"/>
  <c r="M33" i="14"/>
  <c r="N33" i="14" s="1"/>
  <c r="I33" i="14"/>
  <c r="J33" i="14" s="1"/>
  <c r="K33" i="14"/>
  <c r="L33" i="14" s="1"/>
  <c r="O36" i="1"/>
  <c r="Y23" i="1"/>
  <c r="N10" i="18"/>
  <c r="M10" i="18" s="1"/>
  <c r="Y10" i="1"/>
  <c r="Y11" i="1"/>
  <c r="S35" i="1"/>
  <c r="S36" i="1" s="1"/>
  <c r="Y21" i="1" s="1"/>
  <c r="P36" i="1"/>
  <c r="P10" i="18"/>
  <c r="Q10" i="18"/>
  <c r="Q14" i="18"/>
  <c r="Y16" i="1"/>
  <c r="H26" i="1"/>
  <c r="H27" i="1" s="1"/>
  <c r="P13" i="18" s="1"/>
  <c r="I27" i="20"/>
  <c r="J27" i="20" s="1"/>
  <c r="K27" i="20"/>
  <c r="O27" i="20"/>
  <c r="M27" i="20"/>
  <c r="N27" i="20" s="1"/>
  <c r="S27" i="20"/>
  <c r="T27" i="20" s="1"/>
  <c r="G28" i="14"/>
  <c r="H28" i="14" s="1"/>
  <c r="K28" i="14"/>
  <c r="L28" i="14" s="1"/>
  <c r="F5" i="13"/>
  <c r="I5" i="13" s="1"/>
  <c r="J5" i="13" s="1"/>
  <c r="K5" i="13" s="1"/>
  <c r="K26" i="1"/>
  <c r="K27" i="1" s="1"/>
  <c r="S13" i="18" s="1"/>
  <c r="R12" i="18"/>
  <c r="G29" i="20"/>
  <c r="H29" i="20" s="1"/>
  <c r="S29" i="20"/>
  <c r="T29" i="20" s="1"/>
  <c r="Q29" i="20"/>
  <c r="R29" i="20" s="1"/>
  <c r="O29" i="20"/>
  <c r="P29" i="20" s="1"/>
  <c r="I33" i="20"/>
  <c r="J33" i="20" s="1"/>
  <c r="F33" i="20"/>
  <c r="O33" i="20"/>
  <c r="P33" i="20" s="1"/>
  <c r="S33" i="20"/>
  <c r="T33" i="20" s="1"/>
  <c r="Q33" i="20"/>
  <c r="R33" i="20" s="1"/>
  <c r="K33" i="20"/>
  <c r="L33" i="20" s="1"/>
  <c r="G33" i="20"/>
  <c r="H33" i="20" s="1"/>
  <c r="G30" i="20"/>
  <c r="H30" i="20" s="1"/>
  <c r="I30" i="20"/>
  <c r="J30" i="20" s="1"/>
  <c r="O30" i="20"/>
  <c r="P30" i="20" s="1"/>
  <c r="F30" i="20"/>
  <c r="S30" i="20"/>
  <c r="T30" i="20" s="1"/>
  <c r="K30" i="20"/>
  <c r="L30" i="20" s="1"/>
  <c r="Q30" i="20"/>
  <c r="R30" i="20" s="1"/>
  <c r="M30" i="20"/>
  <c r="N30" i="20" s="1"/>
  <c r="M33" i="20"/>
  <c r="N33" i="20" s="1"/>
  <c r="H28" i="20"/>
  <c r="K29" i="20"/>
  <c r="L29" i="20" s="1"/>
  <c r="F29" i="20"/>
  <c r="Q30" i="1"/>
  <c r="Q31" i="1" s="1"/>
  <c r="Z30" i="1" s="1"/>
  <c r="B8" i="7"/>
  <c r="B9" i="8"/>
  <c r="N21" i="1"/>
  <c r="AD35" i="1" s="1"/>
  <c r="E7" i="1"/>
  <c r="E20" i="1"/>
  <c r="AD33" i="1" s="1"/>
  <c r="C14" i="15"/>
  <c r="E14" i="15" s="1"/>
  <c r="I14" i="15"/>
  <c r="J14" i="15" s="1"/>
  <c r="Q20" i="1"/>
  <c r="AD30" i="1" s="1"/>
  <c r="Q21" i="1"/>
  <c r="T21" i="1" s="1"/>
  <c r="T26" i="1" s="1"/>
  <c r="T27" i="1" s="1"/>
  <c r="R13" i="18" s="1"/>
  <c r="C7" i="1"/>
  <c r="C42" i="1"/>
  <c r="C43" i="1" s="1"/>
  <c r="C45" i="1" s="1"/>
  <c r="C10" i="15"/>
  <c r="D8" i="16" s="1"/>
  <c r="N26" i="1"/>
  <c r="N27" i="1" s="1"/>
  <c r="E10" i="1"/>
  <c r="E11" i="1" s="1"/>
  <c r="D11" i="16" s="1"/>
  <c r="C13" i="15"/>
  <c r="E6" i="1"/>
  <c r="E52" i="1" s="1"/>
  <c r="E53" i="1" s="1"/>
  <c r="D6" i="1"/>
  <c r="D52" i="1" s="1"/>
  <c r="D53" i="1" s="1"/>
  <c r="L11" i="18" s="1"/>
  <c r="F34" i="1"/>
  <c r="Q26" i="1"/>
  <c r="Q27" i="1" s="1"/>
  <c r="AC30" i="1" s="1"/>
  <c r="AC31" i="1"/>
  <c r="D8" i="7"/>
  <c r="O14" i="20"/>
  <c r="P14" i="20" s="1"/>
  <c r="I20" i="13"/>
  <c r="J20" i="13" s="1"/>
  <c r="K20" i="13" s="1"/>
  <c r="I35" i="18" s="1"/>
  <c r="S11" i="18"/>
  <c r="O26" i="1"/>
  <c r="O27" i="1" s="1"/>
  <c r="E11" i="15"/>
  <c r="Q11" i="15" s="1"/>
  <c r="R11" i="15" s="1"/>
  <c r="AD10" i="1"/>
  <c r="P11" i="18"/>
  <c r="F16" i="30"/>
  <c r="G16" i="30" s="1"/>
  <c r="O47" i="18" s="1"/>
  <c r="F18" i="30"/>
  <c r="G18" i="30" s="1"/>
  <c r="P47" i="18" s="1"/>
  <c r="F20" i="30"/>
  <c r="G20" i="30" s="1"/>
  <c r="N47" i="18" s="1"/>
  <c r="F22" i="30"/>
  <c r="G22" i="30" s="1"/>
  <c r="Q47" i="18" s="1"/>
  <c r="F17" i="30"/>
  <c r="G17" i="30" s="1"/>
  <c r="L47" i="18" s="1"/>
  <c r="F23" i="30"/>
  <c r="G23" i="30" s="1"/>
  <c r="S47" i="18" s="1"/>
  <c r="F19" i="30"/>
  <c r="G19" i="30" s="1"/>
  <c r="M47" i="18" s="1"/>
  <c r="S20" i="1"/>
  <c r="S19" i="1" s="1"/>
  <c r="AD20" i="1"/>
  <c r="P19" i="1"/>
  <c r="L31" i="1"/>
  <c r="Z15" i="1"/>
  <c r="T31" i="1"/>
  <c r="Z31" i="1" s="1"/>
  <c r="F9" i="8"/>
  <c r="C10" i="1"/>
  <c r="C11" i="1"/>
  <c r="E16" i="15"/>
  <c r="D14" i="16"/>
  <c r="S27" i="1"/>
  <c r="P26" i="1"/>
  <c r="P27" i="1" s="1"/>
  <c r="N11" i="18" s="1"/>
  <c r="M11" i="18" s="1"/>
  <c r="M27" i="1"/>
  <c r="AC25" i="1" s="1"/>
  <c r="P31" i="1"/>
  <c r="Z20" i="1" s="1"/>
  <c r="C8" i="1"/>
  <c r="E12" i="15"/>
  <c r="Q12" i="15" s="1"/>
  <c r="R12" i="15" s="1"/>
  <c r="D10" i="16"/>
  <c r="AD15" i="1"/>
  <c r="L27" i="1"/>
  <c r="Q9" i="18" s="1"/>
  <c r="M12" i="15"/>
  <c r="N12" i="15" s="1"/>
  <c r="F15" i="24"/>
  <c r="V10" i="17"/>
  <c r="V19" i="17"/>
  <c r="H20" i="1"/>
  <c r="AD34" i="1" s="1"/>
  <c r="Q16" i="15"/>
  <c r="R16" i="15" s="1"/>
  <c r="E35" i="8"/>
  <c r="D12" i="16"/>
  <c r="F7" i="13"/>
  <c r="I7" i="13" s="1"/>
  <c r="J7" i="13" s="1"/>
  <c r="K7" i="13" s="1"/>
  <c r="D28" i="16"/>
  <c r="B7" i="11"/>
  <c r="F20" i="1"/>
  <c r="AD14" i="1"/>
  <c r="E9" i="15"/>
  <c r="Q9" i="15" s="1"/>
  <c r="R9" i="15" s="1"/>
  <c r="B48" i="13"/>
  <c r="B49" i="13" s="1"/>
  <c r="K46" i="18" s="1"/>
  <c r="S9" i="20"/>
  <c r="T9" i="20" s="1"/>
  <c r="K9" i="20"/>
  <c r="L9" i="20" s="1"/>
  <c r="E14" i="20"/>
  <c r="F14" i="20" s="1"/>
  <c r="S14" i="20"/>
  <c r="T14" i="20" s="1"/>
  <c r="M9" i="20"/>
  <c r="N9" i="20" s="1"/>
  <c r="Q14" i="20"/>
  <c r="R14" i="20" s="1"/>
  <c r="G14" i="20"/>
  <c r="H14" i="20" s="1"/>
  <c r="M14" i="20"/>
  <c r="N14" i="20" s="1"/>
  <c r="E9" i="20"/>
  <c r="F9" i="20" s="1"/>
  <c r="I9" i="20"/>
  <c r="J9" i="20" s="1"/>
  <c r="O9" i="20"/>
  <c r="P9" i="20" s="1"/>
  <c r="F9" i="13"/>
  <c r="I9" i="13" s="1"/>
  <c r="J9" i="13" s="1"/>
  <c r="K9" i="13" s="1"/>
  <c r="Q9" i="20"/>
  <c r="R9" i="20" s="1"/>
  <c r="E20" i="15"/>
  <c r="E8" i="20"/>
  <c r="O8" i="20"/>
  <c r="P8" i="20" s="1"/>
  <c r="K8" i="20"/>
  <c r="L8" i="20" s="1"/>
  <c r="Q8" i="20"/>
  <c r="R8" i="20" s="1"/>
  <c r="F8" i="13"/>
  <c r="I8" i="13" s="1"/>
  <c r="J8" i="13" s="1"/>
  <c r="K8" i="13" s="1"/>
  <c r="M8" i="20"/>
  <c r="K12" i="20"/>
  <c r="L12" i="20" s="1"/>
  <c r="G12" i="20"/>
  <c r="H12" i="20" s="1"/>
  <c r="O12" i="20"/>
  <c r="P12" i="20" s="1"/>
  <c r="C11" i="30"/>
  <c r="Q12" i="20"/>
  <c r="R12" i="20" s="1"/>
  <c r="E12" i="20"/>
  <c r="F12" i="20" s="1"/>
  <c r="G10" i="20"/>
  <c r="H10" i="20" s="1"/>
  <c r="I14" i="20"/>
  <c r="J14" i="20" s="1"/>
  <c r="F8" i="20"/>
  <c r="M10" i="20"/>
  <c r="N10" i="20" s="1"/>
  <c r="I10" i="20"/>
  <c r="J10" i="20" s="1"/>
  <c r="I8" i="20"/>
  <c r="M12" i="20"/>
  <c r="N12" i="20" s="1"/>
  <c r="I12" i="20"/>
  <c r="J12" i="20" s="1"/>
  <c r="E22" i="15"/>
  <c r="G9" i="18"/>
  <c r="I20" i="1"/>
  <c r="AD16" i="1" s="1"/>
  <c r="C20" i="1"/>
  <c r="AD13" i="1" s="1"/>
  <c r="L24" i="1"/>
  <c r="L25" i="1" s="1"/>
  <c r="Q11" i="18"/>
  <c r="F10" i="16"/>
  <c r="E10" i="15"/>
  <c r="F8" i="16" s="1"/>
  <c r="D33" i="1"/>
  <c r="D34" i="1" s="1"/>
  <c r="J24" i="1"/>
  <c r="J25" i="1" s="1"/>
  <c r="M24" i="1"/>
  <c r="M25" i="1" s="1"/>
  <c r="AC13" i="1"/>
  <c r="D14" i="7"/>
  <c r="AC36" i="1"/>
  <c r="AC34" i="1"/>
  <c r="D42" i="1"/>
  <c r="D43" i="1" s="1"/>
  <c r="D45" i="1" s="1"/>
  <c r="D8" i="1"/>
  <c r="E35" i="11"/>
  <c r="L15" i="18" s="1"/>
  <c r="B10" i="11"/>
  <c r="E16" i="11" s="1"/>
  <c r="E17" i="11" s="1"/>
  <c r="Q19" i="1"/>
  <c r="T20" i="1"/>
  <c r="AD31" i="1" s="1"/>
  <c r="C31" i="1"/>
  <c r="Z13" i="1" s="1"/>
  <c r="F31" i="1"/>
  <c r="Z14" i="1" s="1"/>
  <c r="T31" i="14"/>
  <c r="F36" i="14"/>
  <c r="Q28" i="14"/>
  <c r="O35" i="14"/>
  <c r="P35" i="14" s="1"/>
  <c r="K35" i="14"/>
  <c r="L35" i="14" s="1"/>
  <c r="S35" i="14"/>
  <c r="T35" i="14" s="1"/>
  <c r="Q31" i="14"/>
  <c r="R31" i="14" s="1"/>
  <c r="G31" i="14"/>
  <c r="H31" i="14" s="1"/>
  <c r="O28" i="14"/>
  <c r="I32" i="14"/>
  <c r="J32" i="14" s="1"/>
  <c r="M32" i="14"/>
  <c r="N32" i="14" s="1"/>
  <c r="Q32" i="14"/>
  <c r="R32" i="14" s="1"/>
  <c r="G32" i="14"/>
  <c r="H32" i="14" s="1"/>
  <c r="M20" i="18"/>
  <c r="T19" i="1"/>
  <c r="Q10" i="15"/>
  <c r="R10" i="15" s="1"/>
  <c r="M10" i="15"/>
  <c r="N10" i="15" s="1"/>
  <c r="I10" i="15"/>
  <c r="J10" i="15" s="1"/>
  <c r="R28" i="14"/>
  <c r="P28" i="14"/>
  <c r="AC22" i="1"/>
  <c r="AC12" i="1"/>
  <c r="L9" i="18"/>
  <c r="AC11" i="1"/>
  <c r="R9" i="18"/>
  <c r="D48" i="1"/>
  <c r="Z22" i="1" s="1"/>
  <c r="E48" i="1"/>
  <c r="Z32" i="1" s="1"/>
  <c r="O31" i="1"/>
  <c r="Z10" i="1" s="1"/>
  <c r="C48" i="1"/>
  <c r="Z12" i="1" s="1"/>
  <c r="B22" i="8"/>
  <c r="H10" i="8"/>
  <c r="D32" i="8" s="1"/>
  <c r="B32" i="8" s="1"/>
  <c r="G10" i="18"/>
  <c r="C12" i="1"/>
  <c r="F7" i="16"/>
  <c r="M9" i="15"/>
  <c r="N9" i="15" s="1"/>
  <c r="I9" i="15"/>
  <c r="J9" i="15" s="1"/>
  <c r="X16" i="1"/>
  <c r="M16" i="15"/>
  <c r="N16" i="15" s="1"/>
  <c r="AD25" i="1"/>
  <c r="R31" i="1"/>
  <c r="Z11" i="1" s="1"/>
  <c r="N13" i="18"/>
  <c r="M13" i="18" s="1"/>
  <c r="L23" i="1"/>
  <c r="L28" i="1" s="1"/>
  <c r="L29" i="1" s="1"/>
  <c r="O19" i="1"/>
  <c r="O24" i="1" s="1"/>
  <c r="O25" i="1" s="1"/>
  <c r="R20" i="1"/>
  <c r="AD11" i="1" s="1"/>
  <c r="M31" i="1"/>
  <c r="Z25" i="1"/>
  <c r="S31" i="1"/>
  <c r="Z21" i="1"/>
  <c r="N31" i="1"/>
  <c r="Z35" i="1"/>
  <c r="AC23" i="1"/>
  <c r="P24" i="1"/>
  <c r="P25" i="1" s="1"/>
  <c r="D15" i="8"/>
  <c r="E47" i="8" s="1"/>
  <c r="D15" i="1"/>
  <c r="M37" i="1" s="1"/>
  <c r="M38" i="1" s="1"/>
  <c r="F22" i="8"/>
  <c r="E17" i="15"/>
  <c r="I17" i="15" s="1"/>
  <c r="J17" i="15" s="1"/>
  <c r="F26" i="1"/>
  <c r="F27" i="1" s="1"/>
  <c r="E8" i="1"/>
  <c r="AB36" i="1"/>
  <c r="G13" i="18"/>
  <c r="AB33" i="1"/>
  <c r="T24" i="1"/>
  <c r="T25" i="1" s="1"/>
  <c r="N24" i="1"/>
  <c r="N25" i="1" s="1"/>
  <c r="Q24" i="1"/>
  <c r="Q25" i="1" s="1"/>
  <c r="F12" i="16"/>
  <c r="M14" i="15"/>
  <c r="N14" i="15" s="1"/>
  <c r="Q14" i="15"/>
  <c r="R14" i="15" s="1"/>
  <c r="E23" i="1"/>
  <c r="E28" i="1" s="1"/>
  <c r="E29" i="1" s="1"/>
  <c r="F6" i="13"/>
  <c r="I6" i="13" s="1"/>
  <c r="E42" i="1"/>
  <c r="E43" i="1" s="1"/>
  <c r="E45" i="1" s="1"/>
  <c r="K20" i="1"/>
  <c r="AD36" i="1" s="1"/>
  <c r="K31" i="1"/>
  <c r="Z36" i="1" s="1"/>
  <c r="E12" i="1"/>
  <c r="E31" i="1"/>
  <c r="Z33" i="1"/>
  <c r="X36" i="1"/>
  <c r="K14" i="18"/>
  <c r="G14" i="18"/>
  <c r="X33" i="1"/>
  <c r="AF33" i="1" s="1"/>
  <c r="X34" i="1"/>
  <c r="N37" i="1"/>
  <c r="N38" i="1" s="1"/>
  <c r="AB23" i="1"/>
  <c r="G11" i="18"/>
  <c r="H11" i="18"/>
  <c r="AB24" i="1"/>
  <c r="AF24" i="1" s="1"/>
  <c r="D20" i="1"/>
  <c r="AD23" i="1" s="1"/>
  <c r="D23" i="1"/>
  <c r="D28" i="1" s="1"/>
  <c r="D29" i="1" s="1"/>
  <c r="J20" i="1"/>
  <c r="AD26" i="1" s="1"/>
  <c r="G20" i="1"/>
  <c r="AD24" i="1" s="1"/>
  <c r="S24" i="1"/>
  <c r="S25" i="1" s="1"/>
  <c r="J31" i="1"/>
  <c r="Z26" i="1" s="1"/>
  <c r="D31" i="1"/>
  <c r="Z23" i="1" s="1"/>
  <c r="D12" i="1"/>
  <c r="S33" i="1" s="1"/>
  <c r="S34" i="1" s="1"/>
  <c r="G31" i="1"/>
  <c r="Z24" i="1" s="1"/>
  <c r="I11" i="15"/>
  <c r="J11" i="15" s="1"/>
  <c r="M11" i="15"/>
  <c r="N11" i="15" s="1"/>
  <c r="F9" i="16"/>
  <c r="R33" i="1"/>
  <c r="R34" i="1" s="1"/>
  <c r="C50" i="1"/>
  <c r="C51" i="1" s="1"/>
  <c r="O33" i="1"/>
  <c r="O34" i="1" s="1"/>
  <c r="L33" i="1"/>
  <c r="L34" i="1" s="1"/>
  <c r="R19" i="1"/>
  <c r="R24" i="1" s="1"/>
  <c r="R25" i="1" s="1"/>
  <c r="E36" i="8"/>
  <c r="E20" i="8"/>
  <c r="D46" i="8" s="1"/>
  <c r="F10" i="14"/>
  <c r="G10" i="14" s="1"/>
  <c r="H10" i="14" s="1"/>
  <c r="E21" i="15"/>
  <c r="Q22" i="15"/>
  <c r="R22" i="15" s="1"/>
  <c r="M22" i="15"/>
  <c r="N22" i="15" s="1"/>
  <c r="I22" i="15"/>
  <c r="J22" i="15" s="1"/>
  <c r="S10" i="14"/>
  <c r="T10" i="14" s="1"/>
  <c r="F8" i="14"/>
  <c r="K8" i="14" s="1"/>
  <c r="L8" i="14" s="1"/>
  <c r="H20" i="18" s="1"/>
  <c r="W10" i="17" l="1"/>
  <c r="H32" i="24"/>
  <c r="Q28" i="20"/>
  <c r="R28" i="20" s="1"/>
  <c r="E28" i="20"/>
  <c r="F28" i="20" s="1"/>
  <c r="S28" i="20"/>
  <c r="T28" i="20" s="1"/>
  <c r="K28" i="20"/>
  <c r="L28" i="20" s="1"/>
  <c r="M28" i="20"/>
  <c r="N28" i="20" s="1"/>
  <c r="G27" i="20"/>
  <c r="H27" i="20" s="1"/>
  <c r="E27" i="20"/>
  <c r="O10" i="14"/>
  <c r="P10" i="14" s="1"/>
  <c r="F29" i="16"/>
  <c r="K11" i="30"/>
  <c r="G16" i="14"/>
  <c r="H16" i="14" s="1"/>
  <c r="K16" i="14"/>
  <c r="I16" i="14"/>
  <c r="J16" i="14" s="1"/>
  <c r="I8" i="14"/>
  <c r="J8" i="14" s="1"/>
  <c r="G20" i="18" s="1"/>
  <c r="D16" i="16"/>
  <c r="M21" i="15"/>
  <c r="N21" i="15" s="1"/>
  <c r="F30" i="16"/>
  <c r="C12" i="30"/>
  <c r="G14" i="30"/>
  <c r="AB21" i="1"/>
  <c r="J11" i="18"/>
  <c r="N9" i="18"/>
  <c r="M9" i="18" s="1"/>
  <c r="AC10" i="1"/>
  <c r="K9" i="18"/>
  <c r="AB16" i="1"/>
  <c r="AB34" i="1"/>
  <c r="H13" i="18"/>
  <c r="J12" i="18"/>
  <c r="X21" i="1"/>
  <c r="AB14" i="1"/>
  <c r="H9" i="18"/>
  <c r="K12" i="18"/>
  <c r="X26" i="1"/>
  <c r="AC16" i="1"/>
  <c r="S9" i="18"/>
  <c r="AF34" i="1"/>
  <c r="T33" i="1"/>
  <c r="T34" i="1" s="1"/>
  <c r="F11" i="16"/>
  <c r="M33" i="1"/>
  <c r="M34" i="1" s="1"/>
  <c r="I12" i="18" s="1"/>
  <c r="P33" i="1"/>
  <c r="P34" i="1" s="1"/>
  <c r="X20" i="1" s="1"/>
  <c r="D50" i="1"/>
  <c r="D51" i="1" s="1"/>
  <c r="M17" i="15"/>
  <c r="N17" i="15" s="1"/>
  <c r="D37" i="1"/>
  <c r="D38" i="1" s="1"/>
  <c r="E37" i="1"/>
  <c r="E38" i="1" s="1"/>
  <c r="AF36" i="1"/>
  <c r="AF16" i="1"/>
  <c r="F19" i="11"/>
  <c r="F17" i="11"/>
  <c r="F21" i="11"/>
  <c r="F18" i="11"/>
  <c r="F16" i="11"/>
  <c r="G13" i="11" s="1"/>
  <c r="F20" i="11"/>
  <c r="I31" i="1"/>
  <c r="Z16" i="1" s="1"/>
  <c r="D7" i="16"/>
  <c r="R9" i="16"/>
  <c r="N9" i="16"/>
  <c r="J9" i="16"/>
  <c r="K9" i="16" s="1"/>
  <c r="AC15" i="1"/>
  <c r="AD21" i="1"/>
  <c r="N11" i="16"/>
  <c r="R11" i="16"/>
  <c r="J11" i="16"/>
  <c r="H28" i="7"/>
  <c r="I28" i="7" s="1"/>
  <c r="F11" i="24"/>
  <c r="F12" i="24" s="1"/>
  <c r="V10" i="24"/>
  <c r="S10" i="24"/>
  <c r="Q10" i="24"/>
  <c r="P10" i="24"/>
  <c r="T10" i="24"/>
  <c r="R10" i="24"/>
  <c r="T73" i="24"/>
  <c r="R73" i="24"/>
  <c r="P73" i="24"/>
  <c r="U73" i="24" s="1"/>
  <c r="V73" i="24"/>
  <c r="S73" i="24"/>
  <c r="Q73" i="24"/>
  <c r="T74" i="24"/>
  <c r="R74" i="24"/>
  <c r="P74" i="24"/>
  <c r="U74" i="24" s="1"/>
  <c r="V74" i="24"/>
  <c r="S74" i="24"/>
  <c r="Q74" i="24"/>
  <c r="T75" i="24"/>
  <c r="R75" i="24"/>
  <c r="P75" i="24"/>
  <c r="U75" i="24" s="1"/>
  <c r="V75" i="24"/>
  <c r="S75" i="24"/>
  <c r="Q75" i="24"/>
  <c r="T76" i="24"/>
  <c r="R76" i="24"/>
  <c r="P76" i="24"/>
  <c r="U76" i="24" s="1"/>
  <c r="V76" i="24"/>
  <c r="S76" i="24"/>
  <c r="Q76" i="24"/>
  <c r="V14" i="24"/>
  <c r="V15" i="24" s="1"/>
  <c r="S24" i="18" s="1"/>
  <c r="S14" i="24"/>
  <c r="Q14" i="24"/>
  <c r="Q15" i="24" s="1"/>
  <c r="L24" i="18" s="1"/>
  <c r="T14" i="24"/>
  <c r="R14" i="24"/>
  <c r="R15" i="24" s="1"/>
  <c r="O24" i="18" s="1"/>
  <c r="P14" i="24"/>
  <c r="V24" i="24"/>
  <c r="S24" i="24"/>
  <c r="Q24" i="24"/>
  <c r="T24" i="24"/>
  <c r="P24" i="24"/>
  <c r="U24" i="24" s="1"/>
  <c r="R24" i="24"/>
  <c r="V38" i="24"/>
  <c r="S38" i="24"/>
  <c r="Q38" i="24"/>
  <c r="T38" i="24"/>
  <c r="P38" i="24"/>
  <c r="U38" i="24" s="1"/>
  <c r="R38" i="24"/>
  <c r="V44" i="24"/>
  <c r="S44" i="24"/>
  <c r="Q44" i="24"/>
  <c r="T44" i="24"/>
  <c r="P44" i="24"/>
  <c r="R44" i="24"/>
  <c r="V59" i="24"/>
  <c r="S59" i="24"/>
  <c r="Q59" i="24"/>
  <c r="R59" i="24"/>
  <c r="P59" i="24"/>
  <c r="T59" i="24"/>
  <c r="V61" i="24"/>
  <c r="S61" i="24"/>
  <c r="Q61" i="24"/>
  <c r="R61" i="24"/>
  <c r="T61" i="24"/>
  <c r="P61" i="24"/>
  <c r="V63" i="24"/>
  <c r="S63" i="24"/>
  <c r="Q63" i="24"/>
  <c r="R63" i="24"/>
  <c r="P63" i="24"/>
  <c r="U63" i="24" s="1"/>
  <c r="T63" i="24"/>
  <c r="V66" i="24"/>
  <c r="S66" i="24"/>
  <c r="Q66" i="24"/>
  <c r="T66" i="24"/>
  <c r="P66" i="24"/>
  <c r="U66" i="24" s="1"/>
  <c r="R66" i="24"/>
  <c r="V69" i="24"/>
  <c r="S69" i="24"/>
  <c r="Q69" i="24"/>
  <c r="R69" i="24"/>
  <c r="T69" i="24"/>
  <c r="P69" i="24"/>
  <c r="V72" i="24"/>
  <c r="S72" i="24"/>
  <c r="Q72" i="24"/>
  <c r="R72" i="24"/>
  <c r="T72" i="24"/>
  <c r="P72" i="24"/>
  <c r="V51" i="24"/>
  <c r="S51" i="24"/>
  <c r="Q51" i="24"/>
  <c r="R51" i="24"/>
  <c r="P51" i="24"/>
  <c r="U51" i="24" s="1"/>
  <c r="T51" i="24"/>
  <c r="V27" i="24"/>
  <c r="S27" i="24"/>
  <c r="Q27" i="24"/>
  <c r="T27" i="24"/>
  <c r="P27" i="24"/>
  <c r="U27" i="24" s="1"/>
  <c r="R27" i="24"/>
  <c r="V54" i="24"/>
  <c r="S54" i="24"/>
  <c r="Q54" i="24"/>
  <c r="R54" i="24"/>
  <c r="T54" i="24"/>
  <c r="P54" i="24"/>
  <c r="V55" i="24"/>
  <c r="S55" i="24"/>
  <c r="Q55" i="24"/>
  <c r="T55" i="24"/>
  <c r="P55" i="24"/>
  <c r="U55" i="24" s="1"/>
  <c r="R55" i="24"/>
  <c r="V33" i="24"/>
  <c r="S33" i="24"/>
  <c r="Q33" i="24"/>
  <c r="R33" i="24"/>
  <c r="T33" i="24"/>
  <c r="P33" i="24"/>
  <c r="V35" i="24"/>
  <c r="S35" i="24"/>
  <c r="Q35" i="24"/>
  <c r="R35" i="24"/>
  <c r="T35" i="24"/>
  <c r="P35" i="24"/>
  <c r="V20" i="24"/>
  <c r="S20" i="24"/>
  <c r="Q20" i="24"/>
  <c r="T20" i="24"/>
  <c r="P20" i="24"/>
  <c r="U20" i="24" s="1"/>
  <c r="R20" i="24"/>
  <c r="T18" i="24"/>
  <c r="R18" i="24"/>
  <c r="P18" i="24"/>
  <c r="U18" i="24" s="1"/>
  <c r="V18" i="24"/>
  <c r="Q18" i="24"/>
  <c r="S18" i="24"/>
  <c r="V23" i="24"/>
  <c r="S23" i="24"/>
  <c r="Q23" i="24"/>
  <c r="R23" i="24"/>
  <c r="T23" i="24"/>
  <c r="P23" i="24"/>
  <c r="V25" i="24"/>
  <c r="S25" i="24"/>
  <c r="Q25" i="24"/>
  <c r="R25" i="24"/>
  <c r="T25" i="24"/>
  <c r="P25" i="24"/>
  <c r="V36" i="24"/>
  <c r="S36" i="24"/>
  <c r="Q36" i="24"/>
  <c r="T36" i="24"/>
  <c r="P36" i="24"/>
  <c r="U36" i="24" s="1"/>
  <c r="R36" i="24"/>
  <c r="V46" i="24"/>
  <c r="S46" i="24"/>
  <c r="Q46" i="24"/>
  <c r="R46" i="24"/>
  <c r="P46" i="24"/>
  <c r="U46" i="24" s="1"/>
  <c r="T46" i="24"/>
  <c r="V47" i="24"/>
  <c r="S47" i="24"/>
  <c r="Q47" i="24"/>
  <c r="T47" i="24"/>
  <c r="P47" i="24"/>
  <c r="U47" i="24" s="1"/>
  <c r="R47" i="24"/>
  <c r="V49" i="24"/>
  <c r="S49" i="24"/>
  <c r="Q49" i="24"/>
  <c r="R49" i="24"/>
  <c r="T49" i="24"/>
  <c r="P49" i="24"/>
  <c r="V60" i="24"/>
  <c r="S60" i="24"/>
  <c r="Q60" i="24"/>
  <c r="T60" i="24"/>
  <c r="P60" i="24"/>
  <c r="U60" i="24" s="1"/>
  <c r="R60" i="24"/>
  <c r="V62" i="24"/>
  <c r="S62" i="24"/>
  <c r="Q62" i="24"/>
  <c r="T62" i="24"/>
  <c r="P62" i="24"/>
  <c r="R62" i="24"/>
  <c r="V65" i="24"/>
  <c r="S65" i="24"/>
  <c r="Q65" i="24"/>
  <c r="R65" i="24"/>
  <c r="T65" i="24"/>
  <c r="P65" i="24"/>
  <c r="V68" i="24"/>
  <c r="S68" i="24"/>
  <c r="Q68" i="24"/>
  <c r="T68" i="24"/>
  <c r="P68" i="24"/>
  <c r="U68" i="24" s="1"/>
  <c r="R68" i="24"/>
  <c r="V70" i="24"/>
  <c r="S70" i="24"/>
  <c r="Q70" i="24"/>
  <c r="T70" i="24"/>
  <c r="P70" i="24"/>
  <c r="U70" i="24" s="1"/>
  <c r="R70" i="24"/>
  <c r="V50" i="24"/>
  <c r="S50" i="24"/>
  <c r="Q50" i="24"/>
  <c r="T50" i="24"/>
  <c r="P50" i="24"/>
  <c r="U50" i="24" s="1"/>
  <c r="R50" i="24"/>
  <c r="V40" i="24"/>
  <c r="S40" i="24"/>
  <c r="Q40" i="24"/>
  <c r="R40" i="24"/>
  <c r="T40" i="24"/>
  <c r="P40" i="24"/>
  <c r="V28" i="24"/>
  <c r="S28" i="24"/>
  <c r="Q28" i="24"/>
  <c r="R28" i="24"/>
  <c r="T28" i="24"/>
  <c r="P28" i="24"/>
  <c r="V52" i="24"/>
  <c r="S52" i="24"/>
  <c r="Q52" i="24"/>
  <c r="T52" i="24"/>
  <c r="P52" i="24"/>
  <c r="U52" i="24" s="1"/>
  <c r="R52" i="24"/>
  <c r="V67" i="24"/>
  <c r="S67" i="24"/>
  <c r="Q67" i="24"/>
  <c r="R67" i="24"/>
  <c r="T67" i="24"/>
  <c r="P67" i="24"/>
  <c r="V64" i="24"/>
  <c r="S64" i="24"/>
  <c r="Q64" i="24"/>
  <c r="T64" i="24"/>
  <c r="P64" i="24"/>
  <c r="U64" i="24" s="1"/>
  <c r="R64" i="24"/>
  <c r="V32" i="24"/>
  <c r="S32" i="24"/>
  <c r="Q32" i="24"/>
  <c r="T32" i="24"/>
  <c r="P32" i="24"/>
  <c r="U32" i="24" s="1"/>
  <c r="R32" i="24"/>
  <c r="V34" i="24"/>
  <c r="S34" i="24"/>
  <c r="Q34" i="24"/>
  <c r="T34" i="24"/>
  <c r="P34" i="24"/>
  <c r="U34" i="24" s="1"/>
  <c r="R34" i="24"/>
  <c r="V37" i="24"/>
  <c r="S37" i="24"/>
  <c r="Q37" i="24"/>
  <c r="R37" i="24"/>
  <c r="P37" i="24"/>
  <c r="U37" i="24" s="1"/>
  <c r="T37" i="24"/>
  <c r="V19" i="24"/>
  <c r="S19" i="24"/>
  <c r="R19" i="24"/>
  <c r="P19" i="24"/>
  <c r="T19" i="24"/>
  <c r="Q19" i="24"/>
  <c r="F86" i="24"/>
  <c r="F87" i="24" s="1"/>
  <c r="V85" i="24"/>
  <c r="S85" i="24"/>
  <c r="Q85" i="24"/>
  <c r="Q86" i="24" s="1"/>
  <c r="L30" i="18" s="1"/>
  <c r="T85" i="24"/>
  <c r="R85" i="24"/>
  <c r="P85" i="24"/>
  <c r="U85" i="24" s="1"/>
  <c r="V39" i="24"/>
  <c r="S39" i="24"/>
  <c r="Q39" i="24"/>
  <c r="T39" i="24"/>
  <c r="R39" i="24"/>
  <c r="P39" i="24"/>
  <c r="U39" i="24" s="1"/>
  <c r="V26" i="24"/>
  <c r="S26" i="24"/>
  <c r="Q26" i="24"/>
  <c r="T26" i="24"/>
  <c r="R26" i="24"/>
  <c r="P26" i="24"/>
  <c r="U26" i="24" s="1"/>
  <c r="R28" i="16"/>
  <c r="S28" i="16" s="1"/>
  <c r="J28" i="16"/>
  <c r="K28" i="16" s="1"/>
  <c r="N28" i="16"/>
  <c r="O28" i="16" s="1"/>
  <c r="R29" i="16"/>
  <c r="S29" i="16" s="1"/>
  <c r="N29" i="16"/>
  <c r="O29" i="16" s="1"/>
  <c r="J29" i="16"/>
  <c r="K29" i="16" s="1"/>
  <c r="F28" i="16"/>
  <c r="R12" i="16"/>
  <c r="S12" i="16" s="1"/>
  <c r="J12" i="16"/>
  <c r="K12" i="16" s="1"/>
  <c r="N12" i="16"/>
  <c r="O12" i="16" s="1"/>
  <c r="S9" i="16"/>
  <c r="O9" i="16"/>
  <c r="N10" i="16"/>
  <c r="O10" i="16" s="1"/>
  <c r="R10" i="16"/>
  <c r="S10" i="16" s="1"/>
  <c r="J10" i="16"/>
  <c r="K10" i="16" s="1"/>
  <c r="N8" i="16"/>
  <c r="O8" i="16" s="1"/>
  <c r="R8" i="16"/>
  <c r="S8" i="16" s="1"/>
  <c r="J8" i="16"/>
  <c r="K8" i="16" s="1"/>
  <c r="J53" i="24"/>
  <c r="M53" i="24"/>
  <c r="I53" i="24"/>
  <c r="N53" i="24" s="1"/>
  <c r="L53" i="24"/>
  <c r="O53" i="24"/>
  <c r="K53" i="24"/>
  <c r="J84" i="24"/>
  <c r="K84" i="24"/>
  <c r="L84" i="24"/>
  <c r="I84" i="24"/>
  <c r="N84" i="24" s="1"/>
  <c r="O84" i="24"/>
  <c r="M84" i="24"/>
  <c r="H11" i="17"/>
  <c r="L11" i="17"/>
  <c r="J11" i="17"/>
  <c r="N11" i="17"/>
  <c r="G11" i="17"/>
  <c r="M11" i="17"/>
  <c r="I11" i="17"/>
  <c r="K11" i="17"/>
  <c r="G81" i="24"/>
  <c r="H80" i="24"/>
  <c r="F26" i="16" s="1"/>
  <c r="P12" i="17"/>
  <c r="H26" i="24"/>
  <c r="J26" i="24" s="1"/>
  <c r="H19" i="24"/>
  <c r="L19" i="24" s="1"/>
  <c r="Q12" i="17"/>
  <c r="W14" i="17"/>
  <c r="V14" i="17"/>
  <c r="U24" i="17"/>
  <c r="Q31" i="18" s="1"/>
  <c r="Q16" i="17"/>
  <c r="P21" i="17"/>
  <c r="V18" i="17"/>
  <c r="G19" i="17"/>
  <c r="F41" i="24"/>
  <c r="F42" i="24" s="1"/>
  <c r="F56" i="24"/>
  <c r="F57" i="24" s="1"/>
  <c r="H76" i="24"/>
  <c r="J76" i="24" s="1"/>
  <c r="S15" i="24"/>
  <c r="P24" i="18" s="1"/>
  <c r="T15" i="24"/>
  <c r="Q24" i="18" s="1"/>
  <c r="P15" i="24"/>
  <c r="M24" i="18" s="1"/>
  <c r="U10" i="24"/>
  <c r="U11" i="24" s="1"/>
  <c r="T11" i="24"/>
  <c r="Q23" i="18" s="1"/>
  <c r="R11" i="24"/>
  <c r="O23" i="18" s="1"/>
  <c r="V11" i="24"/>
  <c r="S23" i="18" s="1"/>
  <c r="S11" i="24"/>
  <c r="P23" i="18" s="1"/>
  <c r="Q11" i="24"/>
  <c r="L23" i="18" s="1"/>
  <c r="H11" i="24"/>
  <c r="K20" i="17"/>
  <c r="L20" i="17"/>
  <c r="G20" i="17"/>
  <c r="M20" i="17"/>
  <c r="J20" i="17"/>
  <c r="I20" i="17"/>
  <c r="H20" i="17"/>
  <c r="N20" i="17"/>
  <c r="F15" i="17"/>
  <c r="G37" i="24"/>
  <c r="H37" i="24" s="1"/>
  <c r="J37" i="24" s="1"/>
  <c r="H22" i="24"/>
  <c r="L21" i="24"/>
  <c r="O21" i="24"/>
  <c r="K21" i="24"/>
  <c r="J21" i="24"/>
  <c r="M21" i="24"/>
  <c r="I21" i="24"/>
  <c r="N21" i="24" s="1"/>
  <c r="G59" i="24"/>
  <c r="H59" i="24" s="1"/>
  <c r="H48" i="24"/>
  <c r="F77" i="24"/>
  <c r="F78" i="24" s="1"/>
  <c r="H10" i="24"/>
  <c r="K10" i="24" s="1"/>
  <c r="K11" i="24" s="1"/>
  <c r="G23" i="18" s="1"/>
  <c r="H25" i="24"/>
  <c r="M25" i="24" s="1"/>
  <c r="H39" i="24"/>
  <c r="F23" i="13" s="1"/>
  <c r="I23" i="13" s="1"/>
  <c r="J23" i="13" s="1"/>
  <c r="K23" i="13" s="1"/>
  <c r="H70" i="24"/>
  <c r="I70" i="24" s="1"/>
  <c r="N70" i="24" s="1"/>
  <c r="H68" i="24"/>
  <c r="M68" i="24" s="1"/>
  <c r="H35" i="24"/>
  <c r="M35" i="24" s="1"/>
  <c r="H62" i="24"/>
  <c r="O62" i="24" s="1"/>
  <c r="U69" i="24"/>
  <c r="U40" i="24"/>
  <c r="U67" i="24"/>
  <c r="U33" i="24"/>
  <c r="U35" i="24"/>
  <c r="U49" i="24"/>
  <c r="U61" i="24"/>
  <c r="U65" i="24"/>
  <c r="U72" i="24"/>
  <c r="U54" i="24"/>
  <c r="H33" i="24"/>
  <c r="I33" i="24" s="1"/>
  <c r="N33" i="24" s="1"/>
  <c r="H47" i="24"/>
  <c r="I47" i="24" s="1"/>
  <c r="N47" i="24" s="1"/>
  <c r="U28" i="24"/>
  <c r="U23" i="24"/>
  <c r="U25" i="24"/>
  <c r="U19" i="24"/>
  <c r="Q21" i="17"/>
  <c r="P16" i="17"/>
  <c r="W18" i="17"/>
  <c r="T24" i="17"/>
  <c r="P31" i="18" s="1"/>
  <c r="K10" i="17"/>
  <c r="V13" i="17"/>
  <c r="E24" i="17"/>
  <c r="I13" i="17"/>
  <c r="S24" i="17"/>
  <c r="O31" i="18" s="1"/>
  <c r="Q18" i="17"/>
  <c r="Q14" i="17"/>
  <c r="Q10" i="17"/>
  <c r="P18" i="17"/>
  <c r="P14" i="17"/>
  <c r="P10" i="17"/>
  <c r="W21" i="17"/>
  <c r="W16" i="17"/>
  <c r="W12" i="17"/>
  <c r="V21" i="17"/>
  <c r="V16" i="17"/>
  <c r="V12" i="17"/>
  <c r="H21" i="17"/>
  <c r="M14" i="17"/>
  <c r="G18" i="17"/>
  <c r="H29" i="7"/>
  <c r="H44" i="7"/>
  <c r="I44" i="7" s="1"/>
  <c r="H32" i="7"/>
  <c r="I32" i="7" s="1"/>
  <c r="L6" i="18" s="1"/>
  <c r="H27" i="7"/>
  <c r="H31" i="7"/>
  <c r="I31" i="7" s="1"/>
  <c r="H45" i="7"/>
  <c r="I45" i="7" s="1"/>
  <c r="M6" i="18" s="1"/>
  <c r="H30" i="7"/>
  <c r="I30" i="7" s="1"/>
  <c r="R6" i="18" s="1"/>
  <c r="N6" i="18" s="1"/>
  <c r="H43" i="7"/>
  <c r="I43" i="7" s="1"/>
  <c r="Q6" i="18" s="1"/>
  <c r="H46" i="7"/>
  <c r="I46" i="7" s="1"/>
  <c r="H14" i="7"/>
  <c r="D36" i="8"/>
  <c r="D34" i="8"/>
  <c r="D33" i="8"/>
  <c r="E33" i="8" s="1"/>
  <c r="F33" i="8" s="1"/>
  <c r="D35" i="8"/>
  <c r="F35" i="8" s="1"/>
  <c r="D31" i="8"/>
  <c r="B31" i="8" s="1"/>
  <c r="D47" i="8"/>
  <c r="F29" i="24"/>
  <c r="F30" i="24" s="1"/>
  <c r="H18" i="24"/>
  <c r="M18" i="24" s="1"/>
  <c r="H20" i="24"/>
  <c r="K20" i="24" s="1"/>
  <c r="G16" i="17"/>
  <c r="L13" i="17"/>
  <c r="M10" i="17"/>
  <c r="H10" i="17"/>
  <c r="G10" i="17"/>
  <c r="L26" i="24"/>
  <c r="I10" i="17"/>
  <c r="N10" i="17"/>
  <c r="J10" i="17"/>
  <c r="K18" i="17"/>
  <c r="J45" i="24"/>
  <c r="H16" i="17"/>
  <c r="L16" i="17"/>
  <c r="I16" i="17"/>
  <c r="K16" i="17"/>
  <c r="M16" i="17"/>
  <c r="N16" i="17"/>
  <c r="J13" i="17"/>
  <c r="H13" i="17"/>
  <c r="G13" i="17"/>
  <c r="K13" i="17"/>
  <c r="M13" i="17"/>
  <c r="N13" i="17"/>
  <c r="O32" i="24"/>
  <c r="M32" i="24"/>
  <c r="I32" i="24"/>
  <c r="N32" i="24" s="1"/>
  <c r="L32" i="24"/>
  <c r="J32" i="24"/>
  <c r="K32" i="24"/>
  <c r="I17" i="17"/>
  <c r="J17" i="17"/>
  <c r="H14" i="24"/>
  <c r="I14" i="24" s="1"/>
  <c r="I15" i="24" s="1"/>
  <c r="E24" i="18" s="1"/>
  <c r="G15" i="24"/>
  <c r="H15" i="24" s="1"/>
  <c r="AC35" i="1"/>
  <c r="Q13" i="18"/>
  <c r="C49" i="1"/>
  <c r="AD12" i="1" s="1"/>
  <c r="C46" i="1"/>
  <c r="P9" i="18"/>
  <c r="AC14" i="1"/>
  <c r="Q20" i="15"/>
  <c r="R20" i="15" s="1"/>
  <c r="M20" i="15"/>
  <c r="N20" i="15" s="1"/>
  <c r="I20" i="15"/>
  <c r="J20" i="15" s="1"/>
  <c r="AF21" i="1"/>
  <c r="I12" i="15"/>
  <c r="J12" i="15" s="1"/>
  <c r="X25" i="1"/>
  <c r="L12" i="18"/>
  <c r="Y22" i="1"/>
  <c r="O10" i="18"/>
  <c r="Y13" i="1"/>
  <c r="E18" i="7"/>
  <c r="D43" i="7" s="1"/>
  <c r="H64" i="24"/>
  <c r="K64" i="24" s="1"/>
  <c r="H67" i="24"/>
  <c r="O67" i="24" s="1"/>
  <c r="H54" i="24"/>
  <c r="J54" i="24" s="1"/>
  <c r="H28" i="24"/>
  <c r="L28" i="24" s="1"/>
  <c r="H38" i="24"/>
  <c r="I38" i="24" s="1"/>
  <c r="N38" i="24" s="1"/>
  <c r="H73" i="24"/>
  <c r="J73" i="24" s="1"/>
  <c r="H40" i="24"/>
  <c r="M40" i="24" s="1"/>
  <c r="H51" i="24"/>
  <c r="K51" i="24" s="1"/>
  <c r="H50" i="24"/>
  <c r="I50" i="24" s="1"/>
  <c r="N50" i="24" s="1"/>
  <c r="H24" i="24"/>
  <c r="L24" i="24" s="1"/>
  <c r="H75" i="24"/>
  <c r="J75" i="24" s="1"/>
  <c r="H23" i="24"/>
  <c r="M23" i="24" s="1"/>
  <c r="H60" i="24"/>
  <c r="J60" i="24" s="1"/>
  <c r="H66" i="24"/>
  <c r="L66" i="24" s="1"/>
  <c r="H72" i="24"/>
  <c r="M72" i="24" s="1"/>
  <c r="H65" i="24"/>
  <c r="I65" i="24" s="1"/>
  <c r="N65" i="24" s="1"/>
  <c r="H44" i="24"/>
  <c r="M44" i="24" s="1"/>
  <c r="H46" i="24"/>
  <c r="M46" i="24" s="1"/>
  <c r="H55" i="24"/>
  <c r="L55" i="24" s="1"/>
  <c r="H52" i="24"/>
  <c r="J52" i="24" s="1"/>
  <c r="H74" i="24"/>
  <c r="K74" i="24" s="1"/>
  <c r="R19" i="17"/>
  <c r="I38" i="18"/>
  <c r="H8" i="18"/>
  <c r="G8" i="18"/>
  <c r="H61" i="24"/>
  <c r="J61" i="24" s="1"/>
  <c r="H34" i="24"/>
  <c r="K34" i="24" s="1"/>
  <c r="W13" i="17"/>
  <c r="P19" i="17"/>
  <c r="I33" i="18"/>
  <c r="G21" i="17"/>
  <c r="H14" i="17"/>
  <c r="H19" i="17"/>
  <c r="J21" i="17"/>
  <c r="G14" i="17"/>
  <c r="K45" i="24"/>
  <c r="L17" i="17"/>
  <c r="K19" i="17"/>
  <c r="N12" i="17"/>
  <c r="I18" i="17"/>
  <c r="N21" i="17"/>
  <c r="K14" i="17"/>
  <c r="M12" i="17"/>
  <c r="I19" i="17"/>
  <c r="G12" i="17"/>
  <c r="H18" i="17"/>
  <c r="K21" i="17"/>
  <c r="L21" i="17"/>
  <c r="I21" i="17"/>
  <c r="M21" i="17"/>
  <c r="N14" i="17"/>
  <c r="L14" i="17"/>
  <c r="I14" i="17"/>
  <c r="J14" i="17"/>
  <c r="K12" i="17"/>
  <c r="L12" i="17"/>
  <c r="H12" i="17"/>
  <c r="J12" i="17"/>
  <c r="H17" i="17"/>
  <c r="N17" i="17"/>
  <c r="K17" i="17"/>
  <c r="M17" i="17"/>
  <c r="G17" i="17"/>
  <c r="N18" i="17"/>
  <c r="J18" i="17"/>
  <c r="L18" i="17"/>
  <c r="M18" i="17"/>
  <c r="M45" i="24"/>
  <c r="O45" i="24"/>
  <c r="I45" i="24"/>
  <c r="N45" i="24" s="1"/>
  <c r="L19" i="17"/>
  <c r="J19" i="17"/>
  <c r="N19" i="17"/>
  <c r="M19" i="17"/>
  <c r="H27" i="24"/>
  <c r="K27" i="24" s="1"/>
  <c r="H36" i="24"/>
  <c r="I36" i="24" s="1"/>
  <c r="N36" i="24" s="1"/>
  <c r="H49" i="24"/>
  <c r="L49" i="24" s="1"/>
  <c r="H85" i="24"/>
  <c r="G86" i="24"/>
  <c r="AB11" i="1"/>
  <c r="J9" i="18"/>
  <c r="X12" i="1"/>
  <c r="D10" i="18"/>
  <c r="E49" i="1"/>
  <c r="AD32" i="1" s="1"/>
  <c r="E46" i="1"/>
  <c r="J6" i="13"/>
  <c r="K6" i="13" s="1"/>
  <c r="I34" i="18" s="1"/>
  <c r="F13" i="18"/>
  <c r="E13" i="18" s="1"/>
  <c r="AB30" i="1"/>
  <c r="J13" i="18"/>
  <c r="AB31" i="1"/>
  <c r="F11" i="18"/>
  <c r="E11" i="18" s="1"/>
  <c r="AB20" i="1"/>
  <c r="AF20" i="1" s="1"/>
  <c r="K11" i="18"/>
  <c r="K16" i="18" s="1"/>
  <c r="AB26" i="1"/>
  <c r="AF26" i="1" s="1"/>
  <c r="C37" i="1"/>
  <c r="C38" i="1" s="1"/>
  <c r="L37" i="1"/>
  <c r="L38" i="1" s="1"/>
  <c r="G46" i="8"/>
  <c r="E46" i="8"/>
  <c r="I7" i="18" s="1"/>
  <c r="X15" i="1"/>
  <c r="I10" i="18"/>
  <c r="X10" i="1"/>
  <c r="F10" i="18"/>
  <c r="E10" i="18" s="1"/>
  <c r="J10" i="18"/>
  <c r="X11" i="1"/>
  <c r="J14" i="18"/>
  <c r="X31" i="1"/>
  <c r="I13" i="18"/>
  <c r="AB35" i="1"/>
  <c r="E7" i="18"/>
  <c r="J7" i="18"/>
  <c r="F7" i="18"/>
  <c r="F9" i="18"/>
  <c r="E9" i="18" s="1"/>
  <c r="AB10" i="1"/>
  <c r="D49" i="1"/>
  <c r="AD22" i="1" s="1"/>
  <c r="D46" i="1"/>
  <c r="AB25" i="1"/>
  <c r="AF25" i="1" s="1"/>
  <c r="I11" i="18"/>
  <c r="G12" i="18"/>
  <c r="X23" i="1"/>
  <c r="AF23" i="1" s="1"/>
  <c r="I9" i="18"/>
  <c r="AB15" i="1"/>
  <c r="D23" i="30"/>
  <c r="E23" i="30" s="1"/>
  <c r="K47" i="18" s="1"/>
  <c r="D22" i="30"/>
  <c r="E22" i="30" s="1"/>
  <c r="I47" i="18" s="1"/>
  <c r="D20" i="30"/>
  <c r="E20" i="30" s="1"/>
  <c r="F47" i="18" s="1"/>
  <c r="D18" i="30"/>
  <c r="E18" i="30" s="1"/>
  <c r="H47" i="18" s="1"/>
  <c r="D19" i="30"/>
  <c r="E19" i="30" s="1"/>
  <c r="E47" i="18" s="1"/>
  <c r="D17" i="30"/>
  <c r="E17" i="30" s="1"/>
  <c r="D47" i="18" s="1"/>
  <c r="D16" i="30"/>
  <c r="E16" i="30" s="1"/>
  <c r="G47" i="18" s="1"/>
  <c r="D21" i="30"/>
  <c r="E21" i="30" s="1"/>
  <c r="J47" i="18" s="1"/>
  <c r="L27" i="20"/>
  <c r="F27" i="20"/>
  <c r="N12" i="18"/>
  <c r="M12" i="18" s="1"/>
  <c r="Y20" i="1"/>
  <c r="Y33" i="1"/>
  <c r="O14" i="18"/>
  <c r="T35" i="1"/>
  <c r="T36" i="1" s="1"/>
  <c r="Q36" i="1"/>
  <c r="O13" i="18"/>
  <c r="AC33" i="1"/>
  <c r="H63" i="24"/>
  <c r="H69" i="24"/>
  <c r="I21" i="15"/>
  <c r="J21" i="15" s="1"/>
  <c r="Q21" i="15"/>
  <c r="R21" i="15" s="1"/>
  <c r="F32" i="8"/>
  <c r="F31" i="8"/>
  <c r="F12" i="18"/>
  <c r="E12" i="18" s="1"/>
  <c r="F36" i="8"/>
  <c r="D48" i="8"/>
  <c r="E48" i="8" s="1"/>
  <c r="D7" i="18" s="1"/>
  <c r="N33" i="1"/>
  <c r="N34" i="1" s="1"/>
  <c r="E50" i="1"/>
  <c r="E51" i="1" s="1"/>
  <c r="Q33" i="1"/>
  <c r="Q34" i="1" s="1"/>
  <c r="H31" i="1"/>
  <c r="Z34" i="1" s="1"/>
  <c r="F15" i="16"/>
  <c r="Q17" i="15"/>
  <c r="R17" i="15" s="1"/>
  <c r="D46" i="7"/>
  <c r="D44" i="7"/>
  <c r="AC20" i="1"/>
  <c r="B53" i="13"/>
  <c r="X14" i="1"/>
  <c r="H10" i="18"/>
  <c r="AC32" i="1"/>
  <c r="L13" i="18"/>
  <c r="Y24" i="1"/>
  <c r="P12" i="18"/>
  <c r="E15" i="15"/>
  <c r="D13" i="16"/>
  <c r="S12" i="18"/>
  <c r="Y26" i="1"/>
  <c r="AF14" i="1"/>
  <c r="R11" i="18"/>
  <c r="AC21" i="1"/>
  <c r="I16" i="15"/>
  <c r="J16" i="15" s="1"/>
  <c r="F14" i="16"/>
  <c r="E13" i="15"/>
  <c r="P11" i="24"/>
  <c r="M23" i="18" s="1"/>
  <c r="P27" i="20"/>
  <c r="Q12" i="18"/>
  <c r="Y25" i="1"/>
  <c r="D23" i="8"/>
  <c r="F23" i="8"/>
  <c r="F24" i="8" s="1"/>
  <c r="L14" i="18"/>
  <c r="Y32" i="1"/>
  <c r="Y36" i="1"/>
  <c r="S14" i="18"/>
  <c r="C23" i="1"/>
  <c r="C28" i="1" s="1"/>
  <c r="C29" i="1" s="1"/>
  <c r="E13" i="20"/>
  <c r="F13" i="20" s="1"/>
  <c r="S32" i="20"/>
  <c r="T32" i="20" s="1"/>
  <c r="T38" i="20" s="1"/>
  <c r="S19" i="18" s="1"/>
  <c r="Q32" i="20"/>
  <c r="R32" i="20" s="1"/>
  <c r="R38" i="20" s="1"/>
  <c r="N19" i="18" s="1"/>
  <c r="O32" i="20"/>
  <c r="P32" i="20" s="1"/>
  <c r="M32" i="20"/>
  <c r="N32" i="20" s="1"/>
  <c r="N38" i="20" s="1"/>
  <c r="M19" i="18" s="1"/>
  <c r="G32" i="20"/>
  <c r="H32" i="20" s="1"/>
  <c r="H38" i="20" s="1"/>
  <c r="O19" i="18" s="1"/>
  <c r="F32" i="20"/>
  <c r="I32" i="20"/>
  <c r="J32" i="20" s="1"/>
  <c r="J38" i="20" s="1"/>
  <c r="P19" i="18" s="1"/>
  <c r="D38" i="20"/>
  <c r="E41" i="20" s="1"/>
  <c r="K32" i="20"/>
  <c r="L32" i="20" s="1"/>
  <c r="R17" i="17"/>
  <c r="Q17" i="17"/>
  <c r="P17" i="17"/>
  <c r="W17" i="17"/>
  <c r="Q19" i="17"/>
  <c r="P13" i="17"/>
  <c r="Q13" i="17"/>
  <c r="D19" i="20"/>
  <c r="C19" i="15" s="1"/>
  <c r="Q8" i="14"/>
  <c r="R8" i="14" s="1"/>
  <c r="G8" i="14"/>
  <c r="H8" i="14" s="1"/>
  <c r="D20" i="18" s="1"/>
  <c r="S8" i="14"/>
  <c r="T8" i="14" s="1"/>
  <c r="K20" i="18" s="1"/>
  <c r="S36" i="14"/>
  <c r="T29" i="14"/>
  <c r="T36" i="14" s="1"/>
  <c r="S21" i="18" s="1"/>
  <c r="O8" i="14"/>
  <c r="P8" i="14" s="1"/>
  <c r="E20" i="18" s="1"/>
  <c r="M8" i="14"/>
  <c r="N8" i="14" s="1"/>
  <c r="I20" i="18" s="1"/>
  <c r="I10" i="14"/>
  <c r="J10" i="14" s="1"/>
  <c r="Q10" i="14"/>
  <c r="R10" i="14" s="1"/>
  <c r="K10" i="14"/>
  <c r="L10" i="14" s="1"/>
  <c r="M10" i="14"/>
  <c r="N10" i="14" s="1"/>
  <c r="K32" i="14"/>
  <c r="L32" i="14" s="1"/>
  <c r="O32" i="14"/>
  <c r="P32" i="14" s="1"/>
  <c r="Q29" i="14"/>
  <c r="O29" i="14"/>
  <c r="I29" i="14"/>
  <c r="G29" i="14"/>
  <c r="O34" i="14"/>
  <c r="P34" i="14" s="1"/>
  <c r="J34" i="14"/>
  <c r="L34" i="14"/>
  <c r="M34" i="14"/>
  <c r="N34" i="14" s="1"/>
  <c r="N36" i="14" s="1"/>
  <c r="Q21" i="18" s="1"/>
  <c r="Q34" i="14"/>
  <c r="R34" i="14" s="1"/>
  <c r="G34" i="14"/>
  <c r="H34" i="14" s="1"/>
  <c r="I11" i="14"/>
  <c r="J11" i="14" s="1"/>
  <c r="Q11" i="14"/>
  <c r="R11" i="14" s="1"/>
  <c r="S11" i="14"/>
  <c r="T11" i="14" s="1"/>
  <c r="K11" i="14"/>
  <c r="L11" i="14" s="1"/>
  <c r="G11" i="14"/>
  <c r="H11" i="14" s="1"/>
  <c r="O11" i="14"/>
  <c r="P11" i="14" s="1"/>
  <c r="M11" i="14"/>
  <c r="N11" i="14" s="1"/>
  <c r="Q12" i="14"/>
  <c r="R12" i="14" s="1"/>
  <c r="I12" i="14"/>
  <c r="J12" i="14" s="1"/>
  <c r="O12" i="14"/>
  <c r="P12" i="14" s="1"/>
  <c r="G12" i="14"/>
  <c r="H12" i="14" s="1"/>
  <c r="M12" i="14"/>
  <c r="N12" i="14" s="1"/>
  <c r="K12" i="14"/>
  <c r="L12" i="14" s="1"/>
  <c r="S12" i="14"/>
  <c r="T12" i="14" s="1"/>
  <c r="L16" i="14"/>
  <c r="Q16" i="14"/>
  <c r="R16" i="14" s="1"/>
  <c r="S16" i="14"/>
  <c r="T16" i="14" s="1"/>
  <c r="M16" i="14"/>
  <c r="N16" i="14" s="1"/>
  <c r="O16" i="14"/>
  <c r="P16" i="14" s="1"/>
  <c r="G8" i="20"/>
  <c r="Q10" i="20"/>
  <c r="R10" i="20" s="1"/>
  <c r="E10" i="20"/>
  <c r="F10" i="20" s="1"/>
  <c r="S10" i="20"/>
  <c r="T10" i="20" s="1"/>
  <c r="K10" i="20"/>
  <c r="L10" i="20" s="1"/>
  <c r="G11" i="20"/>
  <c r="H11" i="20" s="1"/>
  <c r="O13" i="20"/>
  <c r="P13" i="20" s="1"/>
  <c r="G13" i="20"/>
  <c r="H13" i="20" s="1"/>
  <c r="Q11" i="20"/>
  <c r="R11" i="20" s="1"/>
  <c r="O11" i="20"/>
  <c r="P11" i="20" s="1"/>
  <c r="Q13" i="20"/>
  <c r="R13" i="20" s="1"/>
  <c r="S13" i="20"/>
  <c r="T13" i="20" s="1"/>
  <c r="I13" i="20"/>
  <c r="J13" i="20" s="1"/>
  <c r="K11" i="20"/>
  <c r="L11" i="20" s="1"/>
  <c r="I11" i="20"/>
  <c r="J11" i="20" s="1"/>
  <c r="E11" i="20"/>
  <c r="F11" i="20" s="1"/>
  <c r="M13" i="20"/>
  <c r="N13" i="20" s="1"/>
  <c r="S8" i="20"/>
  <c r="S19" i="20" s="1"/>
  <c r="N8" i="20"/>
  <c r="I37" i="18"/>
  <c r="J8" i="20"/>
  <c r="F17" i="14"/>
  <c r="O17" i="14" s="1"/>
  <c r="P17" i="14" s="1"/>
  <c r="K26" i="24" l="1"/>
  <c r="I41" i="18"/>
  <c r="I40" i="18"/>
  <c r="L19" i="20"/>
  <c r="P38" i="20"/>
  <c r="I19" i="20"/>
  <c r="K19" i="20"/>
  <c r="I19" i="18"/>
  <c r="N30" i="16"/>
  <c r="O30" i="16" s="1"/>
  <c r="R30" i="16"/>
  <c r="S30" i="16" s="1"/>
  <c r="J30" i="16"/>
  <c r="K30" i="16" s="1"/>
  <c r="R16" i="16"/>
  <c r="S16" i="16" s="1"/>
  <c r="F16" i="16"/>
  <c r="N16" i="16"/>
  <c r="O16" i="16" s="1"/>
  <c r="J16" i="16"/>
  <c r="K16" i="16" s="1"/>
  <c r="Q17" i="14"/>
  <c r="R17" i="14" s="1"/>
  <c r="L21" i="30"/>
  <c r="M21" i="30" s="1"/>
  <c r="J48" i="18" s="1"/>
  <c r="L19" i="30"/>
  <c r="M19" i="30" s="1"/>
  <c r="E48" i="18" s="1"/>
  <c r="L17" i="30"/>
  <c r="M17" i="30" s="1"/>
  <c r="D48" i="18" s="1"/>
  <c r="L22" i="30"/>
  <c r="M22" i="30" s="1"/>
  <c r="I48" i="18" s="1"/>
  <c r="L20" i="30"/>
  <c r="M20" i="30" s="1"/>
  <c r="F48" i="18" s="1"/>
  <c r="L18" i="30"/>
  <c r="M18" i="30" s="1"/>
  <c r="H48" i="18" s="1"/>
  <c r="L16" i="30"/>
  <c r="M16" i="30" s="1"/>
  <c r="G48" i="18" s="1"/>
  <c r="D12" i="18"/>
  <c r="X22" i="1"/>
  <c r="S15" i="16"/>
  <c r="N7" i="16"/>
  <c r="O7" i="16" s="1"/>
  <c r="R7" i="16"/>
  <c r="S7" i="16" s="1"/>
  <c r="J7" i="16"/>
  <c r="F20" i="16"/>
  <c r="H16" i="24"/>
  <c r="F19" i="16"/>
  <c r="H12" i="24"/>
  <c r="J19" i="24"/>
  <c r="L33" i="24"/>
  <c r="I68" i="24"/>
  <c r="N68" i="24" s="1"/>
  <c r="K7" i="16"/>
  <c r="O11" i="16"/>
  <c r="S11" i="16"/>
  <c r="K11" i="16"/>
  <c r="J14" i="16"/>
  <c r="K14" i="16" s="1"/>
  <c r="R14" i="16"/>
  <c r="S14" i="16" s="1"/>
  <c r="N14" i="16"/>
  <c r="O14" i="16" s="1"/>
  <c r="Q16" i="18"/>
  <c r="H81" i="24"/>
  <c r="H82" i="24" s="1"/>
  <c r="J80" i="24"/>
  <c r="J81" i="24" s="1"/>
  <c r="D29" i="18" s="1"/>
  <c r="M80" i="24"/>
  <c r="M81" i="24" s="1"/>
  <c r="I29" i="18" s="1"/>
  <c r="I80" i="24"/>
  <c r="L80" i="24"/>
  <c r="L81" i="24" s="1"/>
  <c r="H29" i="18" s="1"/>
  <c r="O80" i="24"/>
  <c r="O81" i="24" s="1"/>
  <c r="K29" i="18" s="1"/>
  <c r="K80" i="24"/>
  <c r="K81" i="24" s="1"/>
  <c r="G29" i="18" s="1"/>
  <c r="K62" i="24"/>
  <c r="J62" i="24"/>
  <c r="O26" i="24"/>
  <c r="J20" i="24"/>
  <c r="I26" i="24"/>
  <c r="N26" i="24" s="1"/>
  <c r="M26" i="24"/>
  <c r="U14" i="24"/>
  <c r="U15" i="24" s="1"/>
  <c r="K68" i="24"/>
  <c r="M76" i="24"/>
  <c r="I19" i="24"/>
  <c r="N19" i="24" s="1"/>
  <c r="U62" i="24"/>
  <c r="I62" i="24"/>
  <c r="Q56" i="24"/>
  <c r="L27" i="18" s="1"/>
  <c r="K19" i="24"/>
  <c r="M19" i="24"/>
  <c r="O19" i="24"/>
  <c r="I25" i="24"/>
  <c r="N25" i="24" s="1"/>
  <c r="O37" i="24"/>
  <c r="K25" i="24"/>
  <c r="J35" i="24"/>
  <c r="K70" i="24"/>
  <c r="L70" i="24"/>
  <c r="O68" i="24"/>
  <c r="L18" i="24"/>
  <c r="L68" i="24"/>
  <c r="J68" i="24"/>
  <c r="M62" i="24"/>
  <c r="L62" i="24"/>
  <c r="O18" i="24"/>
  <c r="M39" i="24"/>
  <c r="I76" i="24"/>
  <c r="N76" i="24" s="1"/>
  <c r="L76" i="24"/>
  <c r="G41" i="24"/>
  <c r="K37" i="24"/>
  <c r="O70" i="24"/>
  <c r="L37" i="24"/>
  <c r="M37" i="24"/>
  <c r="S77" i="24"/>
  <c r="P28" i="18" s="1"/>
  <c r="V56" i="24"/>
  <c r="S27" i="18" s="1"/>
  <c r="R56" i="24"/>
  <c r="O27" i="18" s="1"/>
  <c r="R86" i="24"/>
  <c r="O30" i="18" s="1"/>
  <c r="V86" i="24"/>
  <c r="S30" i="18" s="1"/>
  <c r="J25" i="24"/>
  <c r="L25" i="24"/>
  <c r="I37" i="24"/>
  <c r="N37" i="24" s="1"/>
  <c r="M70" i="24"/>
  <c r="O25" i="24"/>
  <c r="O76" i="24"/>
  <c r="K76" i="24"/>
  <c r="J70" i="24"/>
  <c r="R41" i="24"/>
  <c r="O26" i="18" s="1"/>
  <c r="Q41" i="24"/>
  <c r="L26" i="18" s="1"/>
  <c r="V41" i="24"/>
  <c r="S26" i="18" s="1"/>
  <c r="U86" i="24"/>
  <c r="R30" i="18" s="1"/>
  <c r="P86" i="24"/>
  <c r="T86" i="24"/>
  <c r="Q30" i="18" s="1"/>
  <c r="S86" i="24"/>
  <c r="P30" i="18" s="1"/>
  <c r="F18" i="13"/>
  <c r="I18" i="13" s="1"/>
  <c r="J18" i="13" s="1"/>
  <c r="K18" i="13" s="1"/>
  <c r="I36" i="18" s="1"/>
  <c r="L47" i="24"/>
  <c r="M47" i="24"/>
  <c r="G56" i="24"/>
  <c r="G77" i="24"/>
  <c r="O20" i="24"/>
  <c r="L48" i="24"/>
  <c r="O48" i="24"/>
  <c r="K48" i="24"/>
  <c r="J48" i="24"/>
  <c r="M48" i="24"/>
  <c r="I48" i="24"/>
  <c r="N48" i="24" s="1"/>
  <c r="L22" i="24"/>
  <c r="O22" i="24"/>
  <c r="K22" i="24"/>
  <c r="J22" i="24"/>
  <c r="M22" i="24"/>
  <c r="I22" i="24"/>
  <c r="N22" i="24" s="1"/>
  <c r="H15" i="17"/>
  <c r="H24" i="17" s="1"/>
  <c r="L15" i="17"/>
  <c r="L24" i="17" s="1"/>
  <c r="J15" i="17"/>
  <c r="J24" i="17" s="1"/>
  <c r="N15" i="17"/>
  <c r="N24" i="17" s="1"/>
  <c r="G15" i="17"/>
  <c r="G24" i="17" s="1"/>
  <c r="F25" i="16" s="1"/>
  <c r="D25" i="16" s="1"/>
  <c r="K15" i="17"/>
  <c r="K24" i="17" s="1"/>
  <c r="M15" i="17"/>
  <c r="M24" i="17" s="1"/>
  <c r="I15" i="17"/>
  <c r="L10" i="24"/>
  <c r="L11" i="24" s="1"/>
  <c r="H23" i="18" s="1"/>
  <c r="K35" i="24"/>
  <c r="O34" i="24"/>
  <c r="J47" i="24"/>
  <c r="G29" i="24"/>
  <c r="J34" i="24"/>
  <c r="L35" i="24"/>
  <c r="I39" i="24"/>
  <c r="N39" i="24" s="1"/>
  <c r="L39" i="24"/>
  <c r="S56" i="24"/>
  <c r="P27" i="18" s="1"/>
  <c r="P41" i="24"/>
  <c r="M26" i="18" s="1"/>
  <c r="I10" i="24"/>
  <c r="I11" i="24" s="1"/>
  <c r="E23" i="18" s="1"/>
  <c r="J10" i="24"/>
  <c r="D23" i="18" s="1"/>
  <c r="O10" i="24"/>
  <c r="O11" i="24" s="1"/>
  <c r="K23" i="18" s="1"/>
  <c r="I35" i="24"/>
  <c r="N35" i="24" s="1"/>
  <c r="M33" i="24"/>
  <c r="K33" i="24"/>
  <c r="O33" i="24"/>
  <c r="K18" i="24"/>
  <c r="O35" i="24"/>
  <c r="J39" i="24"/>
  <c r="K39" i="24"/>
  <c r="J33" i="24"/>
  <c r="M10" i="24"/>
  <c r="M11" i="24" s="1"/>
  <c r="I23" i="18" s="1"/>
  <c r="O39" i="24"/>
  <c r="S29" i="24"/>
  <c r="P25" i="18" s="1"/>
  <c r="U41" i="24"/>
  <c r="N26" i="18" s="1"/>
  <c r="T41" i="24"/>
  <c r="Q26" i="18" s="1"/>
  <c r="S41" i="24"/>
  <c r="P26" i="18" s="1"/>
  <c r="L46" i="24"/>
  <c r="K47" i="24"/>
  <c r="O47" i="24"/>
  <c r="O65" i="24"/>
  <c r="M52" i="24"/>
  <c r="L20" i="24"/>
  <c r="T29" i="24"/>
  <c r="Q25" i="18" s="1"/>
  <c r="P56" i="24"/>
  <c r="M27" i="18" s="1"/>
  <c r="U44" i="24"/>
  <c r="U56" i="24" s="1"/>
  <c r="R27" i="18" s="1"/>
  <c r="T56" i="24"/>
  <c r="Q27" i="18" s="1"/>
  <c r="Q29" i="24"/>
  <c r="L25" i="18" s="1"/>
  <c r="V29" i="24"/>
  <c r="S25" i="18" s="1"/>
  <c r="U29" i="24"/>
  <c r="N25" i="18" s="1"/>
  <c r="P29" i="24"/>
  <c r="M25" i="18" s="1"/>
  <c r="I20" i="24"/>
  <c r="N20" i="24" s="1"/>
  <c r="M20" i="24"/>
  <c r="R24" i="17"/>
  <c r="L31" i="18" s="1"/>
  <c r="V24" i="17"/>
  <c r="N31" i="18" s="1"/>
  <c r="F19" i="20"/>
  <c r="D19" i="18" s="1"/>
  <c r="H16" i="18"/>
  <c r="D45" i="7"/>
  <c r="E19" i="7"/>
  <c r="H19" i="7" s="1"/>
  <c r="G16" i="18"/>
  <c r="I46" i="8"/>
  <c r="B34" i="8"/>
  <c r="F34" i="8"/>
  <c r="K65" i="24"/>
  <c r="O46" i="24"/>
  <c r="I18" i="24"/>
  <c r="N18" i="24" s="1"/>
  <c r="N14" i="24"/>
  <c r="N15" i="24" s="1"/>
  <c r="F24" i="18" s="1"/>
  <c r="K23" i="24"/>
  <c r="J18" i="24"/>
  <c r="J14" i="24"/>
  <c r="J15" i="24" s="1"/>
  <c r="D24" i="18" s="1"/>
  <c r="L34" i="24"/>
  <c r="K24" i="24"/>
  <c r="I67" i="24"/>
  <c r="N67" i="24" s="1"/>
  <c r="L14" i="24"/>
  <c r="L15" i="24" s="1"/>
  <c r="H24" i="18" s="1"/>
  <c r="R29" i="24"/>
  <c r="O25" i="18" s="1"/>
  <c r="M75" i="24"/>
  <c r="I55" i="24"/>
  <c r="N55" i="24" s="1"/>
  <c r="I64" i="24"/>
  <c r="N64" i="24" s="1"/>
  <c r="O60" i="24"/>
  <c r="L50" i="24"/>
  <c r="K49" i="24"/>
  <c r="K38" i="24"/>
  <c r="O55" i="24"/>
  <c r="I46" i="24"/>
  <c r="N46" i="24" s="1"/>
  <c r="I34" i="24"/>
  <c r="N34" i="24" s="1"/>
  <c r="M34" i="24"/>
  <c r="O14" i="24"/>
  <c r="O15" i="24" s="1"/>
  <c r="K24" i="18" s="1"/>
  <c r="M65" i="24"/>
  <c r="J66" i="24"/>
  <c r="I24" i="24"/>
  <c r="N24" i="24" s="1"/>
  <c r="K52" i="24"/>
  <c r="L67" i="24"/>
  <c r="O51" i="24"/>
  <c r="K14" i="24"/>
  <c r="K15" i="24" s="1"/>
  <c r="G24" i="18" s="1"/>
  <c r="M51" i="24"/>
  <c r="I51" i="24"/>
  <c r="N51" i="24" s="1"/>
  <c r="M14" i="24"/>
  <c r="M15" i="24" s="1"/>
  <c r="I24" i="18" s="1"/>
  <c r="M73" i="24"/>
  <c r="O24" i="24"/>
  <c r="I40" i="24"/>
  <c r="N40" i="24" s="1"/>
  <c r="K44" i="24"/>
  <c r="L38" i="24"/>
  <c r="O38" i="24"/>
  <c r="L61" i="24"/>
  <c r="K55" i="24"/>
  <c r="O44" i="24"/>
  <c r="O54" i="24"/>
  <c r="J40" i="24"/>
  <c r="I44" i="24"/>
  <c r="N44" i="24" s="1"/>
  <c r="O27" i="24"/>
  <c r="I61" i="24"/>
  <c r="N61" i="24" s="1"/>
  <c r="J38" i="24"/>
  <c r="O75" i="24"/>
  <c r="O61" i="24"/>
  <c r="J55" i="24"/>
  <c r="M55" i="24"/>
  <c r="L64" i="24"/>
  <c r="L72" i="24"/>
  <c r="J50" i="24"/>
  <c r="I54" i="24"/>
  <c r="N54" i="24" s="1"/>
  <c r="L60" i="24"/>
  <c r="K50" i="24"/>
  <c r="I74" i="24"/>
  <c r="N74" i="24" s="1"/>
  <c r="O74" i="24"/>
  <c r="M74" i="24"/>
  <c r="J74" i="24"/>
  <c r="L74" i="24"/>
  <c r="J44" i="24"/>
  <c r="L44" i="24"/>
  <c r="L65" i="24"/>
  <c r="J65" i="24"/>
  <c r="O50" i="24"/>
  <c r="M50" i="24"/>
  <c r="M38" i="24"/>
  <c r="O52" i="24"/>
  <c r="L52" i="24"/>
  <c r="I52" i="24"/>
  <c r="N52" i="24" s="1"/>
  <c r="K61" i="24"/>
  <c r="M61" i="24"/>
  <c r="K72" i="24"/>
  <c r="I72" i="24"/>
  <c r="N72" i="24" s="1"/>
  <c r="J72" i="24"/>
  <c r="O72" i="24"/>
  <c r="K66" i="24"/>
  <c r="I66" i="24"/>
  <c r="N66" i="24" s="1"/>
  <c r="O66" i="24"/>
  <c r="M66" i="24"/>
  <c r="I60" i="24"/>
  <c r="N60" i="24" s="1"/>
  <c r="K60" i="24"/>
  <c r="M60" i="24"/>
  <c r="J24" i="24"/>
  <c r="M24" i="24"/>
  <c r="L23" i="24"/>
  <c r="J23" i="24"/>
  <c r="I23" i="24"/>
  <c r="N23" i="24" s="1"/>
  <c r="O23" i="24"/>
  <c r="H29" i="24"/>
  <c r="K75" i="24"/>
  <c r="I75" i="24"/>
  <c r="N75" i="24" s="1"/>
  <c r="L75" i="24"/>
  <c r="L51" i="24"/>
  <c r="J51" i="24"/>
  <c r="O40" i="24"/>
  <c r="K40" i="24"/>
  <c r="L40" i="24"/>
  <c r="K73" i="24"/>
  <c r="I73" i="24"/>
  <c r="N73" i="24" s="1"/>
  <c r="L73" i="24"/>
  <c r="O73" i="24"/>
  <c r="O28" i="24"/>
  <c r="I28" i="24"/>
  <c r="N28" i="24" s="1"/>
  <c r="M28" i="24"/>
  <c r="J28" i="24"/>
  <c r="K28" i="24"/>
  <c r="L54" i="24"/>
  <c r="M54" i="24"/>
  <c r="K54" i="24"/>
  <c r="M67" i="24"/>
  <c r="K67" i="24"/>
  <c r="J67" i="24"/>
  <c r="M64" i="24"/>
  <c r="O64" i="24"/>
  <c r="J64" i="24"/>
  <c r="S38" i="20"/>
  <c r="O38" i="20"/>
  <c r="K46" i="24"/>
  <c r="J46" i="24"/>
  <c r="D9" i="18"/>
  <c r="AB12" i="1"/>
  <c r="AF12" i="1" s="1"/>
  <c r="G17" i="14"/>
  <c r="H17" i="14" s="1"/>
  <c r="M19" i="20"/>
  <c r="P19" i="20"/>
  <c r="J19" i="18" s="1"/>
  <c r="R19" i="20"/>
  <c r="F19" i="18" s="1"/>
  <c r="Q24" i="17"/>
  <c r="M31" i="18" s="1"/>
  <c r="G38" i="20"/>
  <c r="C50" i="20" s="1"/>
  <c r="L16" i="18"/>
  <c r="L38" i="20"/>
  <c r="Q19" i="18" s="1"/>
  <c r="O49" i="24"/>
  <c r="M49" i="24"/>
  <c r="H56" i="24"/>
  <c r="J27" i="24"/>
  <c r="O36" i="24"/>
  <c r="J49" i="24"/>
  <c r="I49" i="24"/>
  <c r="N49" i="24" s="1"/>
  <c r="H41" i="24"/>
  <c r="M36" i="24"/>
  <c r="I27" i="24"/>
  <c r="N27" i="24" s="1"/>
  <c r="K36" i="24"/>
  <c r="L27" i="24"/>
  <c r="M27" i="24"/>
  <c r="J36" i="24"/>
  <c r="L36" i="24"/>
  <c r="F13" i="13"/>
  <c r="I13" i="13" s="1"/>
  <c r="J13" i="13" s="1"/>
  <c r="K13" i="13" s="1"/>
  <c r="H86" i="24"/>
  <c r="I85" i="24"/>
  <c r="N85" i="24" s="1"/>
  <c r="M85" i="24"/>
  <c r="O85" i="24"/>
  <c r="L85" i="24"/>
  <c r="J85" i="24"/>
  <c r="K85" i="24"/>
  <c r="L36" i="14"/>
  <c r="P21" i="18" s="1"/>
  <c r="F24" i="17"/>
  <c r="Q38" i="20"/>
  <c r="K59" i="24"/>
  <c r="L59" i="24"/>
  <c r="O59" i="24"/>
  <c r="H77" i="24"/>
  <c r="J59" i="24"/>
  <c r="I59" i="24"/>
  <c r="M59" i="24"/>
  <c r="E46" i="7"/>
  <c r="F14" i="18"/>
  <c r="E14" i="18" s="1"/>
  <c r="X30" i="1"/>
  <c r="X35" i="1"/>
  <c r="AF35" i="1" s="1"/>
  <c r="I14" i="18"/>
  <c r="T77" i="24"/>
  <c r="Q28" i="18" s="1"/>
  <c r="U59" i="24"/>
  <c r="P77" i="24"/>
  <c r="R14" i="18"/>
  <c r="Y31" i="1"/>
  <c r="E38" i="20"/>
  <c r="R24" i="18"/>
  <c r="N24" i="18"/>
  <c r="AF31" i="1"/>
  <c r="AF30" i="1"/>
  <c r="AB32" i="1"/>
  <c r="D13" i="18"/>
  <c r="S17" i="14"/>
  <c r="T17" i="14" s="1"/>
  <c r="T8" i="20"/>
  <c r="T19" i="20" s="1"/>
  <c r="K19" i="18" s="1"/>
  <c r="E19" i="20"/>
  <c r="E19" i="15"/>
  <c r="D18" i="16"/>
  <c r="J18" i="16" s="1"/>
  <c r="P24" i="17"/>
  <c r="I38" i="20"/>
  <c r="M38" i="20"/>
  <c r="N23" i="18"/>
  <c r="R23" i="18"/>
  <c r="I13" i="15"/>
  <c r="J13" i="15" s="1"/>
  <c r="M13" i="15"/>
  <c r="N13" i="15" s="1"/>
  <c r="Q13" i="15"/>
  <c r="R13" i="15" s="1"/>
  <c r="M15" i="15"/>
  <c r="N15" i="15" s="1"/>
  <c r="I15" i="15"/>
  <c r="J15" i="15" s="1"/>
  <c r="Q15" i="15"/>
  <c r="R15" i="15" s="1"/>
  <c r="F13" i="16"/>
  <c r="X32" i="1"/>
  <c r="D14" i="18"/>
  <c r="L69" i="24"/>
  <c r="J69" i="24"/>
  <c r="K69" i="24"/>
  <c r="O69" i="24"/>
  <c r="I69" i="24"/>
  <c r="N69" i="24" s="1"/>
  <c r="M69" i="24"/>
  <c r="M63" i="24"/>
  <c r="I63" i="24"/>
  <c r="N63" i="24" s="1"/>
  <c r="J63" i="24"/>
  <c r="K63" i="24"/>
  <c r="O63" i="24"/>
  <c r="L63" i="24"/>
  <c r="R77" i="24"/>
  <c r="O28" i="18" s="1"/>
  <c r="V77" i="24"/>
  <c r="S28" i="18" s="1"/>
  <c r="Q77" i="24"/>
  <c r="L28" i="18" s="1"/>
  <c r="N14" i="18"/>
  <c r="M14" i="18" s="1"/>
  <c r="M16" i="18" s="1"/>
  <c r="Y30" i="1"/>
  <c r="F38" i="20"/>
  <c r="L19" i="18" s="1"/>
  <c r="K38" i="20"/>
  <c r="AF15" i="1"/>
  <c r="AB22" i="1"/>
  <c r="AF22" i="1" s="1"/>
  <c r="D11" i="18"/>
  <c r="AF10" i="1"/>
  <c r="N16" i="18"/>
  <c r="AF11" i="1"/>
  <c r="J29" i="14"/>
  <c r="J36" i="14" s="1"/>
  <c r="O21" i="18" s="1"/>
  <c r="I36" i="14"/>
  <c r="R29" i="14"/>
  <c r="R36" i="14" s="1"/>
  <c r="R21" i="18" s="1"/>
  <c r="Q36" i="14"/>
  <c r="J20" i="18"/>
  <c r="F20" i="18"/>
  <c r="I17" i="14"/>
  <c r="J17" i="14" s="1"/>
  <c r="H29" i="14"/>
  <c r="H36" i="14" s="1"/>
  <c r="L21" i="18" s="1"/>
  <c r="G36" i="14"/>
  <c r="P29" i="14"/>
  <c r="P36" i="14" s="1"/>
  <c r="O36" i="14"/>
  <c r="M36" i="14"/>
  <c r="K36" i="14"/>
  <c r="O19" i="20"/>
  <c r="Q19" i="20"/>
  <c r="G19" i="20"/>
  <c r="H8" i="20"/>
  <c r="H19" i="20" s="1"/>
  <c r="G19" i="18" s="1"/>
  <c r="J19" i="20"/>
  <c r="H19" i="18" s="1"/>
  <c r="N19" i="20"/>
  <c r="E19" i="18" s="1"/>
  <c r="K17" i="14"/>
  <c r="L17" i="14" s="1"/>
  <c r="M17" i="14"/>
  <c r="N17" i="14" s="1"/>
  <c r="F13" i="14"/>
  <c r="E15" i="14"/>
  <c r="F15" i="14" s="1"/>
  <c r="E14" i="14"/>
  <c r="F14" i="14" s="1"/>
  <c r="F21" i="16" l="1"/>
  <c r="R21" i="16" s="1"/>
  <c r="S21" i="16" s="1"/>
  <c r="H30" i="24"/>
  <c r="F24" i="16"/>
  <c r="H78" i="24"/>
  <c r="F27" i="16"/>
  <c r="J27" i="16" s="1"/>
  <c r="H87" i="24"/>
  <c r="F23" i="16"/>
  <c r="H57" i="24"/>
  <c r="U77" i="24"/>
  <c r="N28" i="18" s="1"/>
  <c r="F22" i="16"/>
  <c r="H42" i="24"/>
  <c r="M28" i="18"/>
  <c r="N27" i="18"/>
  <c r="N25" i="16"/>
  <c r="O25" i="16" s="1"/>
  <c r="J25" i="16"/>
  <c r="K25" i="16" s="1"/>
  <c r="R20" i="16"/>
  <c r="S20" i="16" s="1"/>
  <c r="J20" i="16"/>
  <c r="K20" i="16" s="1"/>
  <c r="N20" i="16"/>
  <c r="O20" i="16" s="1"/>
  <c r="N21" i="16"/>
  <c r="O21" i="16" s="1"/>
  <c r="R26" i="16"/>
  <c r="S26" i="16" s="1"/>
  <c r="J26" i="16"/>
  <c r="K26" i="16" s="1"/>
  <c r="N26" i="16"/>
  <c r="O26" i="16" s="1"/>
  <c r="R13" i="16"/>
  <c r="S13" i="16" s="1"/>
  <c r="N13" i="16"/>
  <c r="O13" i="16" s="1"/>
  <c r="J13" i="16"/>
  <c r="N18" i="16"/>
  <c r="O18" i="16" s="1"/>
  <c r="R18" i="16"/>
  <c r="S18" i="16" s="1"/>
  <c r="K18" i="16"/>
  <c r="R19" i="16"/>
  <c r="S19" i="16" s="1"/>
  <c r="J19" i="16"/>
  <c r="K19" i="16" s="1"/>
  <c r="N19" i="16"/>
  <c r="O19" i="16" s="1"/>
  <c r="R25" i="16"/>
  <c r="S25" i="16" s="1"/>
  <c r="R16" i="18"/>
  <c r="N80" i="24"/>
  <c r="N81" i="24" s="1"/>
  <c r="J29" i="18" s="1"/>
  <c r="I81" i="24"/>
  <c r="N62" i="24"/>
  <c r="I24" i="17"/>
  <c r="G31" i="17" s="1"/>
  <c r="H31" i="17" s="1"/>
  <c r="J11" i="24"/>
  <c r="R26" i="18"/>
  <c r="K29" i="24"/>
  <c r="G25" i="18" s="1"/>
  <c r="R25" i="18"/>
  <c r="M29" i="24"/>
  <c r="I25" i="18" s="1"/>
  <c r="N30" i="18"/>
  <c r="M30" i="18"/>
  <c r="L29" i="24"/>
  <c r="H25" i="18" s="1"/>
  <c r="N10" i="24"/>
  <c r="N11" i="24" s="1"/>
  <c r="J23" i="18" s="1"/>
  <c r="M41" i="24"/>
  <c r="I26" i="18" s="1"/>
  <c r="J24" i="18"/>
  <c r="L53" i="18"/>
  <c r="R31" i="18"/>
  <c r="D6" i="18"/>
  <c r="D8" i="18" s="1"/>
  <c r="D16" i="18" s="1"/>
  <c r="L41" i="24"/>
  <c r="H26" i="18" s="1"/>
  <c r="N41" i="24"/>
  <c r="J26" i="18" s="1"/>
  <c r="I41" i="24"/>
  <c r="E26" i="18" s="1"/>
  <c r="J41" i="24"/>
  <c r="D26" i="18" s="1"/>
  <c r="M56" i="24"/>
  <c r="I27" i="18" s="1"/>
  <c r="K56" i="24"/>
  <c r="G27" i="18" s="1"/>
  <c r="O41" i="24"/>
  <c r="K26" i="18" s="1"/>
  <c r="O56" i="24"/>
  <c r="K27" i="18" s="1"/>
  <c r="K41" i="24"/>
  <c r="G26" i="18" s="1"/>
  <c r="O29" i="24"/>
  <c r="K25" i="18" s="1"/>
  <c r="J56" i="24"/>
  <c r="D27" i="18" s="1"/>
  <c r="J29" i="24"/>
  <c r="D25" i="18" s="1"/>
  <c r="L56" i="24"/>
  <c r="H27" i="18" s="1"/>
  <c r="Q53" i="18"/>
  <c r="I29" i="24"/>
  <c r="E25" i="18" s="1"/>
  <c r="I56" i="24"/>
  <c r="E27" i="18" s="1"/>
  <c r="N29" i="24"/>
  <c r="F25" i="18" s="1"/>
  <c r="N56" i="24"/>
  <c r="F27" i="18" s="1"/>
  <c r="J86" i="24"/>
  <c r="D30" i="18" s="1"/>
  <c r="L86" i="24"/>
  <c r="H30" i="18" s="1"/>
  <c r="K86" i="24"/>
  <c r="G30" i="18" s="1"/>
  <c r="I86" i="24"/>
  <c r="N86" i="24"/>
  <c r="J30" i="18" s="1"/>
  <c r="M86" i="24"/>
  <c r="I30" i="18" s="1"/>
  <c r="O86" i="24"/>
  <c r="K30" i="18" s="1"/>
  <c r="Q19" i="15"/>
  <c r="R19" i="15" s="1"/>
  <c r="M19" i="15"/>
  <c r="N19" i="15" s="1"/>
  <c r="I19" i="15"/>
  <c r="J19" i="15" s="1"/>
  <c r="F18" i="16"/>
  <c r="M77" i="24"/>
  <c r="I28" i="18" s="1"/>
  <c r="J77" i="24"/>
  <c r="D28" i="18" s="1"/>
  <c r="O77" i="24"/>
  <c r="K28" i="18" s="1"/>
  <c r="K77" i="24"/>
  <c r="G28" i="18" s="1"/>
  <c r="K31" i="18"/>
  <c r="G36" i="17"/>
  <c r="H36" i="17" s="1"/>
  <c r="G34" i="17"/>
  <c r="H34" i="17" s="1"/>
  <c r="I31" i="18"/>
  <c r="G33" i="17"/>
  <c r="H33" i="17" s="1"/>
  <c r="H31" i="18"/>
  <c r="D27" i="7"/>
  <c r="D29" i="7"/>
  <c r="H20" i="7"/>
  <c r="D32" i="7"/>
  <c r="D52" i="7" s="1"/>
  <c r="D28" i="7"/>
  <c r="E28" i="7" s="1"/>
  <c r="I6" i="18" s="1"/>
  <c r="I8" i="18" s="1"/>
  <c r="I16" i="18" s="1"/>
  <c r="D30" i="7"/>
  <c r="E30" i="7" s="1"/>
  <c r="D31" i="7"/>
  <c r="E31" i="7" s="1"/>
  <c r="E6" i="18" s="1"/>
  <c r="E8" i="18" s="1"/>
  <c r="E16" i="18" s="1"/>
  <c r="R19" i="18"/>
  <c r="AF32" i="1"/>
  <c r="R28" i="18"/>
  <c r="N59" i="24"/>
  <c r="I77" i="24"/>
  <c r="E28" i="18" s="1"/>
  <c r="L77" i="24"/>
  <c r="H28" i="18" s="1"/>
  <c r="E31" i="18"/>
  <c r="G30" i="17"/>
  <c r="H30" i="17" s="1"/>
  <c r="G31" i="18"/>
  <c r="G32" i="17"/>
  <c r="H32" i="17" s="1"/>
  <c r="G35" i="17"/>
  <c r="H35" i="17" s="1"/>
  <c r="J31" i="18"/>
  <c r="F31" i="18"/>
  <c r="N21" i="18"/>
  <c r="M21" i="18"/>
  <c r="E18" i="14"/>
  <c r="C18" i="15" s="1"/>
  <c r="M15" i="14"/>
  <c r="N15" i="14" s="1"/>
  <c r="K15" i="14"/>
  <c r="L15" i="14" s="1"/>
  <c r="O15" i="14"/>
  <c r="P15" i="14" s="1"/>
  <c r="G15" i="14"/>
  <c r="H15" i="14" s="1"/>
  <c r="S15" i="14"/>
  <c r="T15" i="14" s="1"/>
  <c r="Q15" i="14"/>
  <c r="R15" i="14" s="1"/>
  <c r="I15" i="14"/>
  <c r="J15" i="14" s="1"/>
  <c r="Q14" i="14"/>
  <c r="R14" i="14" s="1"/>
  <c r="I14" i="14"/>
  <c r="J14" i="14" s="1"/>
  <c r="K14" i="14"/>
  <c r="L14" i="14" s="1"/>
  <c r="O14" i="14"/>
  <c r="P14" i="14" s="1"/>
  <c r="M14" i="14"/>
  <c r="N14" i="14" s="1"/>
  <c r="G14" i="14"/>
  <c r="H14" i="14" s="1"/>
  <c r="S14" i="14"/>
  <c r="T14" i="14" s="1"/>
  <c r="M13" i="14"/>
  <c r="Q13" i="14"/>
  <c r="I13" i="14"/>
  <c r="O13" i="14"/>
  <c r="K13" i="14"/>
  <c r="G13" i="14"/>
  <c r="S13" i="14"/>
  <c r="F18" i="14"/>
  <c r="D17" i="16" s="1"/>
  <c r="F17" i="16" s="1"/>
  <c r="J21" i="16" l="1"/>
  <c r="K21" i="16" s="1"/>
  <c r="R17" i="16"/>
  <c r="N17" i="16"/>
  <c r="J17" i="16"/>
  <c r="K17" i="16" s="1"/>
  <c r="F26" i="18"/>
  <c r="N77" i="24"/>
  <c r="F28" i="18" s="1"/>
  <c r="F23" i="18"/>
  <c r="E29" i="18"/>
  <c r="F29" i="18"/>
  <c r="N27" i="16"/>
  <c r="O27" i="16" s="1"/>
  <c r="R27" i="16"/>
  <c r="S27" i="16" s="1"/>
  <c r="K27" i="16"/>
  <c r="R22" i="16"/>
  <c r="S22" i="16" s="1"/>
  <c r="N22" i="16"/>
  <c r="O22" i="16" s="1"/>
  <c r="J22" i="16"/>
  <c r="K22" i="16" s="1"/>
  <c r="K13" i="16"/>
  <c r="N24" i="16"/>
  <c r="O24" i="16" s="1"/>
  <c r="R24" i="16"/>
  <c r="S24" i="16" s="1"/>
  <c r="J24" i="16"/>
  <c r="K24" i="16" s="1"/>
  <c r="R23" i="16"/>
  <c r="S23" i="16" s="1"/>
  <c r="J23" i="16"/>
  <c r="K23" i="16" s="1"/>
  <c r="N23" i="16"/>
  <c r="O23" i="16" s="1"/>
  <c r="O17" i="16"/>
  <c r="S17" i="16"/>
  <c r="D31" i="18"/>
  <c r="M53" i="18"/>
  <c r="J25" i="18"/>
  <c r="R53" i="18"/>
  <c r="J27" i="18"/>
  <c r="B29" i="7"/>
  <c r="I29" i="7" s="1"/>
  <c r="S6" i="18" s="1"/>
  <c r="S16" i="18" s="1"/>
  <c r="S53" i="18" s="1"/>
  <c r="B26" i="7"/>
  <c r="I26" i="7" s="1"/>
  <c r="O6" i="18" s="1"/>
  <c r="O16" i="18" s="1"/>
  <c r="O53" i="18" s="1"/>
  <c r="B27" i="7"/>
  <c r="I27" i="7" s="1"/>
  <c r="P6" i="18" s="1"/>
  <c r="P16" i="18" s="1"/>
  <c r="P53" i="18" s="1"/>
  <c r="N53" i="18"/>
  <c r="J6" i="18"/>
  <c r="J8" i="18" s="1"/>
  <c r="J16" i="18" s="1"/>
  <c r="F6" i="18"/>
  <c r="F8" i="18" s="1"/>
  <c r="F16" i="18" s="1"/>
  <c r="E18" i="15"/>
  <c r="Q18" i="15" s="1"/>
  <c r="R18" i="15" s="1"/>
  <c r="R23" i="15" s="1"/>
  <c r="R31" i="15" s="1"/>
  <c r="H13" i="14"/>
  <c r="H18" i="14" s="1"/>
  <c r="D21" i="18" s="1"/>
  <c r="D53" i="18" s="1"/>
  <c r="G18" i="14"/>
  <c r="P13" i="14"/>
  <c r="P18" i="14" s="1"/>
  <c r="O18" i="14"/>
  <c r="Q18" i="14"/>
  <c r="R13" i="14"/>
  <c r="R18" i="14" s="1"/>
  <c r="T13" i="14"/>
  <c r="T18" i="14" s="1"/>
  <c r="K21" i="18" s="1"/>
  <c r="K53" i="18" s="1"/>
  <c r="S18" i="14"/>
  <c r="L13" i="14"/>
  <c r="L18" i="14" s="1"/>
  <c r="H21" i="18" s="1"/>
  <c r="H53" i="18" s="1"/>
  <c r="K18" i="14"/>
  <c r="J13" i="14"/>
  <c r="J18" i="14" s="1"/>
  <c r="G21" i="18" s="1"/>
  <c r="G53" i="18" s="1"/>
  <c r="I18" i="14"/>
  <c r="N13" i="14"/>
  <c r="N18" i="14" s="1"/>
  <c r="I21" i="18" s="1"/>
  <c r="I53" i="18" s="1"/>
  <c r="M18" i="14"/>
  <c r="D42" i="14" s="1"/>
  <c r="M18" i="15" l="1"/>
  <c r="N18" i="15" s="1"/>
  <c r="N23" i="15" s="1"/>
  <c r="N31" i="15" s="1"/>
  <c r="E21" i="18"/>
  <c r="F21" i="18"/>
  <c r="E53" i="18"/>
  <c r="J28" i="18"/>
  <c r="J33" i="16"/>
  <c r="I18" i="15"/>
  <c r="J18" i="15" s="1"/>
  <c r="J23" i="15" s="1"/>
  <c r="J31" i="15" s="1"/>
  <c r="K33" i="15" s="1"/>
  <c r="J21" i="18"/>
  <c r="F53" i="18"/>
  <c r="Q33" i="16"/>
  <c r="Q34" i="16"/>
  <c r="J34" i="16"/>
  <c r="N33" i="16"/>
  <c r="N34" i="16"/>
  <c r="J53" i="18" l="1"/>
</calcChain>
</file>

<file path=xl/sharedStrings.xml><?xml version="1.0" encoding="utf-8"?>
<sst xmlns="http://schemas.openxmlformats.org/spreadsheetml/2006/main" count="2476" uniqueCount="1064">
  <si>
    <t>gallons</t>
  </si>
  <si>
    <t>CO</t>
  </si>
  <si>
    <t>VOC</t>
  </si>
  <si>
    <t>Emission</t>
  </si>
  <si>
    <t>PM</t>
  </si>
  <si>
    <t>Pollutant</t>
  </si>
  <si>
    <t>Btu/gal</t>
  </si>
  <si>
    <t>Emissions</t>
  </si>
  <si>
    <t>(tons/yr)</t>
  </si>
  <si>
    <t>MMBtu/hr</t>
  </si>
  <si>
    <t>MMcf</t>
  </si>
  <si>
    <t>Btu/cf</t>
  </si>
  <si>
    <t>NOx</t>
  </si>
  <si>
    <t>hours</t>
  </si>
  <si>
    <t>oil:</t>
  </si>
  <si>
    <t>nat. gas:</t>
  </si>
  <si>
    <t>firing rate:</t>
  </si>
  <si>
    <t>CTG fuel use and firing rate:</t>
  </si>
  <si>
    <t>duct burner fuel use and firing rate:</t>
  </si>
  <si>
    <t>CTG on gas:</t>
  </si>
  <si>
    <t>CTG on oil:</t>
  </si>
  <si>
    <t>duct burner hours while CTG on oil:</t>
  </si>
  <si>
    <t>CTG run time on oil:</t>
  </si>
  <si>
    <t>CTG hours without duct burner:</t>
  </si>
  <si>
    <t>Proportion oil use based on hours with and without duct burner:</t>
  </si>
  <si>
    <t>gallons oil CTG without DB</t>
  </si>
  <si>
    <r>
      <t>PM</t>
    </r>
    <r>
      <rPr>
        <vertAlign val="subscript"/>
        <sz val="11"/>
        <color indexed="8"/>
        <rFont val="Calibri"/>
        <family val="2"/>
      </rPr>
      <t>10</t>
    </r>
  </si>
  <si>
    <t>CTG &amp; Duct burner - Oil</t>
  </si>
  <si>
    <t>Factor</t>
  </si>
  <si>
    <t>Units</t>
  </si>
  <si>
    <t>lb/MMBtu</t>
  </si>
  <si>
    <t>lb/hr</t>
  </si>
  <si>
    <t>Fuel</t>
  </si>
  <si>
    <t>(gallons)</t>
  </si>
  <si>
    <t>CTG &amp; Duct burner - Natural Gas</t>
  </si>
  <si>
    <t>CTG run time on nat gas:</t>
  </si>
  <si>
    <t>duct burner hours while CTG on nat gas:</t>
  </si>
  <si>
    <t>(ton/year)</t>
  </si>
  <si>
    <t>Actual</t>
  </si>
  <si>
    <t>Potential</t>
  </si>
  <si>
    <t>calculate firing rate of duct burner:</t>
  </si>
  <si>
    <t>Proportion gas use based on hours with and without duct burner:</t>
  </si>
  <si>
    <t>MMcf/hr</t>
  </si>
  <si>
    <t>% load</t>
  </si>
  <si>
    <t>(MMcf)</t>
  </si>
  <si>
    <t>CTG on gas with Duct Burner</t>
  </si>
  <si>
    <t>CTG on oil with Duct Burner</t>
  </si>
  <si>
    <t>CTG on oil without Duct Burner</t>
  </si>
  <si>
    <t>CTG on gas without Duct Burner</t>
  </si>
  <si>
    <r>
      <t>PM</t>
    </r>
    <r>
      <rPr>
        <vertAlign val="subscript"/>
        <sz val="11"/>
        <color indexed="8"/>
        <rFont val="Calibri"/>
        <family val="2"/>
      </rPr>
      <t>10</t>
    </r>
    <r>
      <rPr>
        <sz val="11"/>
        <color indexed="8"/>
        <rFont val="Calibri"/>
        <family val="2"/>
      </rPr>
      <t>*</t>
    </r>
  </si>
  <si>
    <t>PM*</t>
  </si>
  <si>
    <t>MMBtu</t>
  </si>
  <si>
    <t xml:space="preserve">gallons oil CTG with DB = </t>
  </si>
  <si>
    <t>Input</t>
  </si>
  <si>
    <t>(MMBtu)</t>
  </si>
  <si>
    <t>MMcf CTG with DB</t>
  </si>
  <si>
    <t>MMcf CTG without DB</t>
  </si>
  <si>
    <r>
      <t>NH</t>
    </r>
    <r>
      <rPr>
        <vertAlign val="subscript"/>
        <sz val="11"/>
        <color indexed="8"/>
        <rFont val="Calibri"/>
        <family val="2"/>
      </rPr>
      <t>3</t>
    </r>
  </si>
  <si>
    <t>*no stack test data available, therefore manufacturer's performance data is presented</t>
  </si>
  <si>
    <t>SOx**</t>
  </si>
  <si>
    <t>PM10</t>
  </si>
  <si>
    <t>PM2.5</t>
  </si>
  <si>
    <t>lb/MMcf</t>
  </si>
  <si>
    <t>lb/1000 gal</t>
  </si>
  <si>
    <t>CTG ran at base load and DB at 50%</t>
  </si>
  <si>
    <t>**SOx emissions are based on a maximum sulfur content fuel of 0.0015% for oil and 0.8 gr/100cf for gas.</t>
  </si>
  <si>
    <t>Stack test data for 100% CTG/50% DB applied</t>
  </si>
  <si>
    <t>Stack test data for CTG at 100% load</t>
  </si>
  <si>
    <t>*SOx emissions are based on a maximum sulfur content fuel of 0.0015%.  Density of fuel equals 7.13 lb/gal.</t>
  </si>
  <si>
    <t>SOx*</t>
  </si>
  <si>
    <t>CTG at 100% load</t>
  </si>
  <si>
    <t>*no stack test data at 100% load, therefore manufacturer's performance data is presented</t>
  </si>
  <si>
    <t>**no stack test data available, therefore sulfur content of fuel is provided</t>
  </si>
  <si>
    <t>CO**</t>
  </si>
  <si>
    <t>**CO stack test emissions were zero.  Used CEMS data to calculate emission factor</t>
  </si>
  <si>
    <t>(2) Ammonium Hydroxide Tanks</t>
  </si>
  <si>
    <t>Emissions of Nox, CO, and NH3 are based on CEMS data and reported under CTG w/duct burner</t>
  </si>
  <si>
    <t>Emissions of NOx, CO, and NH3 are obtained from CEMS and are reported under CTG w/duct burner</t>
  </si>
  <si>
    <t>NOx, CO, and NH3 actual emissions are obtained from CEMS</t>
  </si>
  <si>
    <t xml:space="preserve">Actual emissions of NOx, CO, NH3 are based on CEMS data.  </t>
  </si>
  <si>
    <t xml:space="preserve">All other pollutant  emissions are based on annual fuel use and stack test data. </t>
  </si>
  <si>
    <t>Boiler 200</t>
  </si>
  <si>
    <t>Month</t>
  </si>
  <si>
    <t>January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</si>
  <si>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</si>
  <si>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</si>
  <si>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</si>
  <si>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</si>
  <si>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</si>
  <si>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</si>
  <si>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</si>
  <si>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</si>
  <si>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</si>
  <si>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</si>
  <si>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</si>
  <si>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CEMS Emission Data (pounds)</t>
  </si>
  <si>
    <t>1st Qrt</t>
  </si>
  <si>
    <t>2nd Qrt</t>
  </si>
  <si>
    <t>3rd Qrt</t>
  </si>
  <si>
    <t>4th Qrt</t>
  </si>
  <si>
    <t>total</t>
  </si>
  <si>
    <t>Boiler 300</t>
  </si>
  <si>
    <t>NH3</t>
  </si>
  <si>
    <t>Operating Hours</t>
  </si>
  <si>
    <t>B300  - Natural Gas Burning</t>
  </si>
  <si>
    <t>CEMS Oil (gal)</t>
  </si>
  <si>
    <t>CEMS Gas (kscf)</t>
  </si>
  <si>
    <t>February</t>
  </si>
  <si>
    <t>CEMS Gas (hr)</t>
  </si>
  <si>
    <t>CEMS Oil (hr)</t>
  </si>
  <si>
    <t>Fuel Use and Operating Hours</t>
  </si>
  <si>
    <t>UMass Boiler Fuel Use and CEMS Data</t>
  </si>
  <si>
    <t>Boiler 400</t>
  </si>
  <si>
    <t>B400  - Natural Gas Burning</t>
  </si>
  <si>
    <t>Boiler 200 - Oil Burning</t>
  </si>
  <si>
    <t>B300 - Oil Burning</t>
  </si>
  <si>
    <t>Boiler 200 - Natural Gas Burning</t>
  </si>
  <si>
    <t>CTG</t>
  </si>
  <si>
    <t>Totals</t>
  </si>
  <si>
    <t>CEMS Gas w/DB (hr)</t>
  </si>
  <si>
    <t>CEMS Oil w/DB (hr)</t>
  </si>
  <si>
    <t xml:space="preserve">CO </t>
  </si>
  <si>
    <t>Operating hours</t>
  </si>
  <si>
    <t>CT1  - Natural Gas Burning</t>
  </si>
  <si>
    <t>CT1  - Oil Burning</t>
  </si>
  <si>
    <t xml:space="preserve">NOX </t>
  </si>
  <si>
    <t>Fuel Oil Emission Factor*, lb/gal oil</t>
  </si>
  <si>
    <t>Fuel Oil Emission Factor*, lb/MMBtu oil</t>
  </si>
  <si>
    <t>Annual Fuel Oil Emissions (lb/yr)</t>
  </si>
  <si>
    <t>Annual Fuel Oil Emissions (ton/yr)</t>
  </si>
  <si>
    <t>Potential Fuel Oil Emissions (lb/yr)*</t>
  </si>
  <si>
    <t>Potential Fuel Oil Emissions (ton/yr)*</t>
  </si>
  <si>
    <t>Annual Natural Gas Emissions (lb/yr)</t>
  </si>
  <si>
    <t>Annual Natural Gas Emissions (ton/yr)</t>
  </si>
  <si>
    <t>Ozone Season Fuel Oil Use, gal</t>
  </si>
  <si>
    <t>Ozone Season Fuel Oil Emissions - lb</t>
  </si>
  <si>
    <t>Ozone Season Fuel Oil Emissions - lb/day</t>
  </si>
  <si>
    <t>B200</t>
  </si>
  <si>
    <t>B300</t>
  </si>
  <si>
    <t>B400</t>
  </si>
  <si>
    <t>Annual Fuel Oil use, gal</t>
  </si>
  <si>
    <t>Annual Natural Gas use, MMBtu</t>
  </si>
  <si>
    <t>Emission Factor*, lb/MMBtu Nat'l gas</t>
  </si>
  <si>
    <t>Ozone Season Nat'l Gas Emissions, lb</t>
  </si>
  <si>
    <t>Ozone Season Nat'l Gas Emissions, lb/day</t>
  </si>
  <si>
    <t>Fuel Oil Burning</t>
  </si>
  <si>
    <t>Annual Natural Gas use, kscf</t>
  </si>
  <si>
    <t>Natural Gas Burning</t>
  </si>
  <si>
    <t>SO2 (lb/yr)</t>
  </si>
  <si>
    <t>Annual Fuel Oil use, lb</t>
  </si>
  <si>
    <t>% Sulfur, by Weight</t>
  </si>
  <si>
    <t>Annual Fuel Oil Emissions, (lb/yr)</t>
  </si>
  <si>
    <t>Annual Fuel Oil Emissions, (ton/yr)</t>
  </si>
  <si>
    <t>Fuel oil heating value</t>
  </si>
  <si>
    <t>Natural gas heating value</t>
  </si>
  <si>
    <t>Oil density</t>
  </si>
  <si>
    <t>lb/gal</t>
  </si>
  <si>
    <t>B400  - Oil Burning</t>
  </si>
  <si>
    <t>Emission Rate</t>
  </si>
  <si>
    <t>Total Annual Emissions, lbs (from CEMS)</t>
  </si>
  <si>
    <t>Total Ozone Season Emissions, lb</t>
  </si>
  <si>
    <t>Stack Test Data - Oil Fired</t>
  </si>
  <si>
    <t>Stack Test Data - NG Fired</t>
  </si>
  <si>
    <t>Process Information</t>
  </si>
  <si>
    <t>Fuel Oil Use, MMBtu</t>
  </si>
  <si>
    <t>Fuel Oil Use, gal</t>
  </si>
  <si>
    <t>UMASS Central Heating Plant - Boiler Emissions</t>
  </si>
  <si>
    <t>Emissions rate based on stack test data at 75% load.</t>
  </si>
  <si>
    <t>--</t>
  </si>
  <si>
    <r>
      <t>SO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emissions are based on a maximum sulfur content fuel of 0.0015%.    (SO2 = fuel use, gal*7.13 lb/gal*0.000015*2)</t>
    </r>
  </si>
  <si>
    <t>Total CTG Permit</t>
  </si>
  <si>
    <t>gr S/100 cf</t>
  </si>
  <si>
    <t>% of Total Boiler Max. Input Rating</t>
  </si>
  <si>
    <t>Max. input rating, MMBtu/hr (NG input rating)</t>
  </si>
  <si>
    <t>Max. input rating, MMBtu/hr (Oil input rating)</t>
  </si>
  <si>
    <t>Max. oil flowrate, gal/hour</t>
  </si>
  <si>
    <t>* Potential Oil Emissions = Stack Test Emission Factors times Boiler Rating times Max. Hours/Year on oil.  Boiler #2 max. 5088 hours on oil.  Boiler #3 &amp; Boiler #4 total = 13140 Hours on oil (assume 6570 hours each)</t>
  </si>
  <si>
    <t>Potential Natural Gas Emissions (lb/yr)**</t>
  </si>
  <si>
    <t>Potential Natural Gas Emissions (ton/yr)**</t>
  </si>
  <si>
    <t>** Potentail Natural Gas Emissions = Use Combined Permit Limit for all boilers times % of each boiler rating</t>
  </si>
  <si>
    <t>PM/PM10/PM2.5</t>
  </si>
  <si>
    <t>Tons/Yr</t>
  </si>
  <si>
    <t>Lb/Yr</t>
  </si>
  <si>
    <t>SO2</t>
  </si>
  <si>
    <t>Boiler Permit Limits - Potential Emissions</t>
  </si>
  <si>
    <t>Oil Limits:</t>
  </si>
  <si>
    <t>Boiler #200:  5088 Hours (No Ozone Season Use)</t>
  </si>
  <si>
    <t>Boiler #300 &amp; #400:  13140 Total Hours (5508 Total Ozone Season Hours)</t>
  </si>
  <si>
    <t>k Gal.</t>
  </si>
  <si>
    <t>Permit Max. Oil</t>
  </si>
  <si>
    <t>Oil Use</t>
  </si>
  <si>
    <t>MMBTU</t>
  </si>
  <si>
    <t>Oil HV =</t>
  </si>
  <si>
    <t>BTU/Gal.</t>
  </si>
  <si>
    <t xml:space="preserve">Permit Max. </t>
  </si>
  <si>
    <t xml:space="preserve">MMCF burned in </t>
  </si>
  <si>
    <t>Hours  =</t>
  </si>
  <si>
    <t>BTU/CF</t>
  </si>
  <si>
    <t>MMBTU/Hr  /</t>
  </si>
  <si>
    <t>Ozone Season Natural Gas Use, kscf</t>
  </si>
  <si>
    <t>Ozone Season Natural Gas Use, MMBtu</t>
  </si>
  <si>
    <t>CTG and duct burner - oil</t>
  </si>
  <si>
    <t>CTG and duct burner - natural gas</t>
  </si>
  <si>
    <t>Total CTG and duct burner</t>
  </si>
  <si>
    <t>per year</t>
  </si>
  <si>
    <t>hrs</t>
  </si>
  <si>
    <t xml:space="preserve">Permit limit = </t>
  </si>
  <si>
    <t>Potential Emissions</t>
  </si>
  <si>
    <t>(lb/MMBtu)</t>
  </si>
  <si>
    <t>Actual Emissions</t>
  </si>
  <si>
    <t>assumed operating load</t>
  </si>
  <si>
    <t>&lt;10%</t>
  </si>
  <si>
    <t>gal/hr</t>
  </si>
  <si>
    <t>Black Start Emergency Generator</t>
  </si>
  <si>
    <t>max rating =</t>
  </si>
  <si>
    <t>Calculated potential emissions</t>
  </si>
  <si>
    <t>Factor* (lb/hr)</t>
  </si>
  <si>
    <r>
      <t>NH</t>
    </r>
    <r>
      <rPr>
        <vertAlign val="subscript"/>
        <sz val="11"/>
        <color indexed="8"/>
        <rFont val="Calibri"/>
        <family val="2"/>
      </rPr>
      <t>3</t>
    </r>
    <r>
      <rPr>
        <sz val="11"/>
        <color theme="1"/>
        <rFont val="Calibri"/>
        <family val="2"/>
        <scheme val="minor"/>
      </rPr>
      <t>**</t>
    </r>
  </si>
  <si>
    <t>SOx</t>
  </si>
  <si>
    <t>**AP-42 emission factor in units of lb/MMBtu</t>
  </si>
  <si>
    <t>*Emission factors from UMass CHP Air Permit (1-B-08-015), Table F</t>
  </si>
  <si>
    <t>Operating Hours:</t>
  </si>
  <si>
    <t>hr/day</t>
  </si>
  <si>
    <t>day/wk</t>
  </si>
  <si>
    <t>wk/yr</t>
  </si>
  <si>
    <t>wk ozone</t>
  </si>
  <si>
    <t>1st Quarter</t>
  </si>
  <si>
    <t>2nd Quarter</t>
  </si>
  <si>
    <t>3rd Quarter</t>
  </si>
  <si>
    <t>4th Quarter</t>
  </si>
  <si>
    <t>Total Hours</t>
  </si>
  <si>
    <t>Emission Factor,  lb/MCF (calculated for CEMS emissions)</t>
  </si>
  <si>
    <t>Emission Factor,  lb/MCF</t>
  </si>
  <si>
    <t>Emission Factor,  lb/1000 gal</t>
  </si>
  <si>
    <t>Fuel Oil Emission Factor*, lb/1000 gal oil (calculated for CEMS emissions)</t>
  </si>
  <si>
    <t xml:space="preserve">Emission Factor*, lb/MMBtu Nat'l gas </t>
  </si>
  <si>
    <t>CT</t>
  </si>
  <si>
    <t>CT1</t>
  </si>
  <si>
    <t>Stack Testing Date:</t>
  </si>
  <si>
    <t>UMASS Central Heating Plant - Black Start Emergency Generator</t>
  </si>
  <si>
    <t>Engine Rating:</t>
  </si>
  <si>
    <t>Fuel Input:</t>
  </si>
  <si>
    <t>Fuel Oil Heating Value:</t>
  </si>
  <si>
    <t>DB Hours</t>
  </si>
  <si>
    <t>gal</t>
  </si>
  <si>
    <t xml:space="preserve">Total Heat Input: </t>
  </si>
  <si>
    <t>MMBtu/yr</t>
  </si>
  <si>
    <t>BTU/scf</t>
  </si>
  <si>
    <t>Natural Gas HV =</t>
  </si>
  <si>
    <t>UMass Small Boiler Emissions (Natural Gas)</t>
  </si>
  <si>
    <t>Building</t>
  </si>
  <si>
    <t>Btu Rating</t>
  </si>
  <si>
    <t>Manufacturer</t>
  </si>
  <si>
    <t>lb/yr</t>
  </si>
  <si>
    <t>tpy</t>
  </si>
  <si>
    <t>Furcolo Hall</t>
  </si>
  <si>
    <t>Burnham</t>
  </si>
  <si>
    <t>UMTS Boiler EVO#1</t>
  </si>
  <si>
    <t>Hamilton</t>
  </si>
  <si>
    <t>UMTS Boiler EVO#2</t>
  </si>
  <si>
    <t>UMTS Boiler EVO#3</t>
  </si>
  <si>
    <t>Wysocki House</t>
  </si>
  <si>
    <t>HB Smith</t>
  </si>
  <si>
    <t>RTIC furnaces</t>
  </si>
  <si>
    <t>Emission Factors-natural gas</t>
  </si>
  <si>
    <t>Emission Factors-natural gas (space heaters &lt;0.3)</t>
  </si>
  <si>
    <t>Ozone Season Daily:</t>
  </si>
  <si>
    <t>lb/day</t>
  </si>
  <si>
    <t>CO2 Emissions - Federal eGGRT</t>
  </si>
  <si>
    <t>CH4 Emissions - Federal eGGRT</t>
  </si>
  <si>
    <t>N2O Emissions - Federal eGGRT</t>
  </si>
  <si>
    <t>Equipment Name</t>
  </si>
  <si>
    <t>Emitting Activity</t>
  </si>
  <si>
    <t>CO2 Emission Factor  40 CFR 98 Table C-1</t>
  </si>
  <si>
    <t>CO2 Emissions (kg)</t>
  </si>
  <si>
    <t>CO2 Emissions (metric tons)</t>
  </si>
  <si>
    <t>CH4 Emission Factor - 40 CFR 98 Table C-2</t>
  </si>
  <si>
    <t>CH4 Emissions (kg)</t>
  </si>
  <si>
    <t>CH4 Emissions (metric tons)</t>
  </si>
  <si>
    <t>N2O Emission Factor 40 CFR 98 Table C-2</t>
  </si>
  <si>
    <t>N2O Emissions (kg)</t>
  </si>
  <si>
    <t>N2O Emissions (metric tons)</t>
  </si>
  <si>
    <t xml:space="preserve">Boiler #200 </t>
  </si>
  <si>
    <t>Boiler on NG</t>
  </si>
  <si>
    <t>kCF</t>
  </si>
  <si>
    <t>kg/MMbtu</t>
  </si>
  <si>
    <t>Boiler on Oil</t>
  </si>
  <si>
    <t>gal.</t>
  </si>
  <si>
    <t xml:space="preserve">Boiler #300 </t>
  </si>
  <si>
    <t xml:space="preserve">Boiler #400 </t>
  </si>
  <si>
    <t>CTG on NG</t>
  </si>
  <si>
    <t>CTG on Oil</t>
  </si>
  <si>
    <t>HRSG with Duct Burner</t>
  </si>
  <si>
    <t>Duct Burner on NG</t>
  </si>
  <si>
    <t>Therms</t>
  </si>
  <si>
    <t>Small Boilers - Oil</t>
  </si>
  <si>
    <t>kg/MMBtu</t>
  </si>
  <si>
    <t>Propane</t>
  </si>
  <si>
    <t>Space Heating</t>
  </si>
  <si>
    <t>Natural Gas</t>
  </si>
  <si>
    <t>Dining Commons</t>
  </si>
  <si>
    <t>Total (MT)</t>
  </si>
  <si>
    <t>*Note:  Small Boilers - NG are grouped for entry into eGGRT</t>
  </si>
  <si>
    <t>2 eGGRT Emission Factors are based on the EPA GHG reporting requirements under 40 CFR 98 Subpart C and are contained in Tables C-1 and C-2.  These default values vary in some cases from the CRIS emission factors.   Greenhouse gas emissions reported in the eGGRT system are calculated using the Subpart C, Tables C-1 and C-2 default emission factors.</t>
  </si>
  <si>
    <t>CO2 equivalent factor</t>
  </si>
  <si>
    <t>CO2e emissions (MT)</t>
  </si>
  <si>
    <t>Total CO2e Emissions</t>
  </si>
  <si>
    <t>metric tons</t>
  </si>
  <si>
    <t>Fuel Type</t>
  </si>
  <si>
    <t>CH4 Emission Factor</t>
  </si>
  <si>
    <t>N2O Emission Factor</t>
  </si>
  <si>
    <t>Nat. Gas</t>
  </si>
  <si>
    <t>#2 Oil</t>
  </si>
  <si>
    <t>Em. Gen. Group 1</t>
  </si>
  <si>
    <t>Em. Gen. Group 2</t>
  </si>
  <si>
    <t>Em. Gen. Group 3</t>
  </si>
  <si>
    <t>Em. Gen. Group 4</t>
  </si>
  <si>
    <t>Em. Gen. Group 5</t>
  </si>
  <si>
    <t>Em. Gen. Group 6</t>
  </si>
  <si>
    <t>Em. Gen. Group 7</t>
  </si>
  <si>
    <t>Em. Gen. Group EU17 - Black Start Generator</t>
  </si>
  <si>
    <t>lb</t>
  </si>
  <si>
    <t>Diesel</t>
  </si>
  <si>
    <t>Gasoline</t>
  </si>
  <si>
    <t>UMass Small Boiler Emissions (#2 Fuel Oil)</t>
  </si>
  <si>
    <t>Bowditch House</t>
  </si>
  <si>
    <t>Boch</t>
  </si>
  <si>
    <t>Farley Lodge</t>
  </si>
  <si>
    <t>H.B Smith</t>
  </si>
  <si>
    <t>Tillson Farm</t>
  </si>
  <si>
    <t>Weil Mcclain</t>
  </si>
  <si>
    <t>Buderus</t>
  </si>
  <si>
    <t>Tillson Sawmill*</t>
  </si>
  <si>
    <t>TOTALS - OIL BOILERS</t>
  </si>
  <si>
    <t>Tillson Sawmill has been abandoned but could potentially be restarted.</t>
  </si>
  <si>
    <t>Montague House and Waskiewicz are not listed because they are not contiguous to the campus.</t>
  </si>
  <si>
    <t>UMASS Oil Tank Emissions - Actual</t>
  </si>
  <si>
    <t>Standing Loss</t>
  </si>
  <si>
    <t>Working Loss</t>
  </si>
  <si>
    <t>Total Loss</t>
  </si>
  <si>
    <t>AP-4</t>
  </si>
  <si>
    <t>Tank Name</t>
  </si>
  <si>
    <t>Type</t>
  </si>
  <si>
    <t>Capacity, Gal.</t>
  </si>
  <si>
    <t>Gallons</t>
  </si>
  <si>
    <t>Lb/1000 Gal.</t>
  </si>
  <si>
    <t>CHP ULSD Tank #1</t>
  </si>
  <si>
    <t>AG</t>
  </si>
  <si>
    <t>ULS Diesel</t>
  </si>
  <si>
    <t>CHP ULSD Tank #2</t>
  </si>
  <si>
    <t>Black Start Emergency Generator Tank</t>
  </si>
  <si>
    <t>Bowditch Lodge Boiler Tank</t>
  </si>
  <si>
    <t>#2  Fuel Oil</t>
  </si>
  <si>
    <t>Farley Lodge Boiler Tank</t>
  </si>
  <si>
    <t>UMTS 15W/40 MotorOil</t>
  </si>
  <si>
    <t>Motor Oil</t>
  </si>
  <si>
    <t>UMTS Hydraulic Fluid</t>
  </si>
  <si>
    <t>Trans. Fluid</t>
  </si>
  <si>
    <t>Conte Emergency Generator Tank</t>
  </si>
  <si>
    <t>UG</t>
  </si>
  <si>
    <t>UMTS Diesel Tank #1</t>
  </si>
  <si>
    <t>UMTS Diesel Tank #2</t>
  </si>
  <si>
    <t>Fleet Gasoline Tank</t>
  </si>
  <si>
    <t>Potential Thruput</t>
  </si>
  <si>
    <t>ULSD Potential thruput based on permit limit of 24,095,693 gallons, divided between two tanks.</t>
  </si>
  <si>
    <t>Black Start Emergency Generator Tank potential thruput is based on permit limit of 300 hours and max. input rating of 65.2 gal/hour.</t>
  </si>
  <si>
    <t>Maintenance Paint Booth</t>
  </si>
  <si>
    <t>annual paint usage</t>
  </si>
  <si>
    <t>Paint density</t>
  </si>
  <si>
    <t>pounds VOC in paint and solvent:</t>
  </si>
  <si>
    <t>total VOC emissions</t>
  </si>
  <si>
    <t>ton</t>
  </si>
  <si>
    <t>Particulate Emissions</t>
  </si>
  <si>
    <t>lb of paint</t>
  </si>
  <si>
    <t>solids in paint</t>
  </si>
  <si>
    <t>assume 10% is wasted</t>
  </si>
  <si>
    <t>assume 50% is overspray</t>
  </si>
  <si>
    <t>assume 95% control efficiency of filters</t>
  </si>
  <si>
    <t>PM emissions</t>
  </si>
  <si>
    <t>hr/yr</t>
  </si>
  <si>
    <t>density of solvent</t>
  </si>
  <si>
    <t>Assume 5% of solvent added is emitted:</t>
  </si>
  <si>
    <t>Ozone season daily:</t>
  </si>
  <si>
    <t>Potential emissions</t>
  </si>
  <si>
    <t>Emergency</t>
  </si>
  <si>
    <t>output</t>
  </si>
  <si>
    <t>input</t>
  </si>
  <si>
    <t>Generator</t>
  </si>
  <si>
    <t>Model</t>
  </si>
  <si>
    <t>kW</t>
  </si>
  <si>
    <t>MMBtu/</t>
  </si>
  <si>
    <t xml:space="preserve">NOx </t>
  </si>
  <si>
    <t xml:space="preserve">VOC </t>
  </si>
  <si>
    <r>
      <t>NH</t>
    </r>
    <r>
      <rPr>
        <vertAlign val="subscript"/>
        <sz val="10"/>
        <rFont val="Arial"/>
        <family val="2"/>
      </rPr>
      <t>3</t>
    </r>
  </si>
  <si>
    <t>Hour/year</t>
  </si>
  <si>
    <t>year</t>
  </si>
  <si>
    <t>Caterpillar</t>
  </si>
  <si>
    <t>Dubois Library (Node 1)</t>
  </si>
  <si>
    <t>Generac</t>
  </si>
  <si>
    <t>Kohler</t>
  </si>
  <si>
    <t>Hampden dining Hall</t>
  </si>
  <si>
    <t>Onan</t>
  </si>
  <si>
    <t>10AJ-1R/8390K</t>
  </si>
  <si>
    <t>Franklin Dining Hall</t>
  </si>
  <si>
    <t>Waukesha</t>
  </si>
  <si>
    <t>TOTALS</t>
  </si>
  <si>
    <t>1-100 kW</t>
  </si>
  <si>
    <t>250-350 kW</t>
  </si>
  <si>
    <t>AP-42 Section 3.2</t>
  </si>
  <si>
    <t>g/hp hr</t>
  </si>
  <si>
    <t>negligible</t>
  </si>
  <si>
    <t>NOTE:</t>
  </si>
  <si>
    <t>BHP=kW/0.746</t>
  </si>
  <si>
    <t>Inlet HP = Outlet HP/0.9</t>
  </si>
  <si>
    <t>Emission Unit</t>
  </si>
  <si>
    <t>SOX</t>
  </si>
  <si>
    <t>NOX</t>
  </si>
  <si>
    <t>Safety Kleen Cold Cleaning Degreasers</t>
  </si>
  <si>
    <t>Small Boilers-#2 Fuel Oil</t>
  </si>
  <si>
    <t>Furcolo Hall Boiler #1 - Natural gas</t>
  </si>
  <si>
    <t>Small Boilers - Natural gas</t>
  </si>
  <si>
    <t>20,000 gal Gasoline Storage Tank-Underground</t>
  </si>
  <si>
    <t>(3) 10,000 gal Diesel Storage Tanks-underground</t>
  </si>
  <si>
    <t>2,500 gal Diesel Storage Tank-Underground</t>
  </si>
  <si>
    <t>(2) 1,000 gal Lube Oil Storage Tanks-AG</t>
  </si>
  <si>
    <t>1,000 gal Transmission Fluid Tank-AG</t>
  </si>
  <si>
    <t>Central Heating Plant</t>
  </si>
  <si>
    <t>Total CHP Emissions</t>
  </si>
  <si>
    <t>Emergency Generators</t>
  </si>
  <si>
    <t>Small Boilers</t>
  </si>
  <si>
    <t>Conte Emergency Generator - Group 1</t>
  </si>
  <si>
    <t>Caterpillar Portable Emergency Generators - Group 2</t>
  </si>
  <si>
    <t>Caterpillar Emergency Generators - Group 3</t>
  </si>
  <si>
    <t>Small Cummins Emergency Generators - Group 4</t>
  </si>
  <si>
    <t>Kohler Emergency Generators - Group 5</t>
  </si>
  <si>
    <t>Small Onan Emergency Generators - Group 6</t>
  </si>
  <si>
    <t>Natural Gas Emergency Generators - Group 7</t>
  </si>
  <si>
    <t>Storage Tanks</t>
  </si>
  <si>
    <t>Total Emissions (tons/yr)</t>
  </si>
  <si>
    <t>Actual Emissions (ton/yr)</t>
  </si>
  <si>
    <t>Potential Emissions (ton/yr)</t>
  </si>
  <si>
    <t>Actual and Potential Emissions</t>
  </si>
  <si>
    <t>Other Sources</t>
  </si>
  <si>
    <t>University of Massachusetts - Amherst Campus</t>
  </si>
  <si>
    <t>Facility Emission Summary</t>
  </si>
  <si>
    <t xml:space="preserve">Em. Gen. Group 8 </t>
  </si>
  <si>
    <t xml:space="preserve">Furcolo Boiler #1 </t>
  </si>
  <si>
    <t xml:space="preserve">Small Boilers - NG </t>
  </si>
  <si>
    <r>
      <t>NH</t>
    </r>
    <r>
      <rPr>
        <b/>
        <vertAlign val="subscript"/>
        <sz val="12"/>
        <rFont val="Calibri"/>
        <family val="2"/>
      </rPr>
      <t>3</t>
    </r>
  </si>
  <si>
    <t>Total Gas (kscf)</t>
  </si>
  <si>
    <t>Total Oil (gal)</t>
  </si>
  <si>
    <t>Gas Flow (kscf)</t>
  </si>
  <si>
    <t>DB Gas Flow (kscf)</t>
  </si>
  <si>
    <t>NG-DB Gas (kscf)</t>
  </si>
  <si>
    <t>Total Operating Hours</t>
  </si>
  <si>
    <t>Oil- DB Gas (kscf)</t>
  </si>
  <si>
    <t>total DB NG</t>
  </si>
  <si>
    <t>Bowditch House (31 Cubhouse Dr)</t>
  </si>
  <si>
    <t>Farley Lodge (41 Clubhouse Dr)</t>
  </si>
  <si>
    <t xml:space="preserve">SOx </t>
  </si>
  <si>
    <t>Oil Emission Factors</t>
  </si>
  <si>
    <t>Fuel Use (gal)</t>
  </si>
  <si>
    <t>Max gals/hr</t>
  </si>
  <si>
    <t>Location</t>
  </si>
  <si>
    <t>Dining Common</t>
  </si>
  <si>
    <t>151 Southwest - Emerson Dorm</t>
  </si>
  <si>
    <t>151 Tillson Farm Rd</t>
  </si>
  <si>
    <t>640 Mass. Ave - Thoreau Dorm</t>
  </si>
  <si>
    <t>offsite</t>
  </si>
  <si>
    <t>650 Mass. Ave - Melville Dorm</t>
  </si>
  <si>
    <t>660 Mass. Ave - James Dorm</t>
  </si>
  <si>
    <t>Admissions- 37 Mather</t>
  </si>
  <si>
    <t>Berkshire Dining -121 Southwest</t>
  </si>
  <si>
    <t>BOWDITCH GREENHOUSE 211 NATURAL RESOURCES RD</t>
  </si>
  <si>
    <t>Dubois Library</t>
  </si>
  <si>
    <t>Integrated Science 661 Pleasant St.</t>
  </si>
  <si>
    <t>IPF Tillson</t>
  </si>
  <si>
    <t>Lincoln Campus Center</t>
  </si>
  <si>
    <t>UMASS Police - 585 East Pleasant Street</t>
  </si>
  <si>
    <t>Misc. Small Sources - Space Heating</t>
  </si>
  <si>
    <t>Space Heating-propane</t>
  </si>
  <si>
    <t>Space Heating-NG</t>
  </si>
  <si>
    <t>111 N. MAPLE ST. HADLEY</t>
  </si>
  <si>
    <t>23 TILSON FARM RD</t>
  </si>
  <si>
    <t>Tilson Farm</t>
  </si>
  <si>
    <t>513 E PLEASANT ST</t>
  </si>
  <si>
    <t>650 East Pleasant Street</t>
  </si>
  <si>
    <t>93 Fearing Street</t>
  </si>
  <si>
    <t>111 N Maple St, HORSE BARN</t>
  </si>
  <si>
    <t>Chancellors' House</t>
  </si>
  <si>
    <t>Dairy Farm - 91 River Rd</t>
  </si>
  <si>
    <t>Hadley Farm Alpaca Barn</t>
  </si>
  <si>
    <t>Hadley Farm Livestock Barn</t>
  </si>
  <si>
    <t>Hadley Farm Police Barn</t>
  </si>
  <si>
    <t>Hadley Farm Riding Arena</t>
  </si>
  <si>
    <t>Morrill Science #3</t>
  </si>
  <si>
    <t>Morrill Science #4</t>
  </si>
  <si>
    <t>Tillson Farm Coal Pile</t>
  </si>
  <si>
    <t>Tillson Farm Power Plant</t>
  </si>
  <si>
    <t>Tillson Farm Water Treatment</t>
  </si>
  <si>
    <t>Tractor Barn</t>
  </si>
  <si>
    <t>#2 Fuel Oil UMass - Amherst</t>
  </si>
  <si>
    <t>Propane Gas UMass - Amherst</t>
  </si>
  <si>
    <t>Small Boilers - NG (EU27&amp;EU28)</t>
  </si>
  <si>
    <t>Stadium - McGirk</t>
  </si>
  <si>
    <t>513 E Pleasant St.</t>
  </si>
  <si>
    <t>ACTUAL EMISSIONS</t>
  </si>
  <si>
    <t>Rating (MMBtu/hr)</t>
  </si>
  <si>
    <t>gas (therm)</t>
  </si>
  <si>
    <t>gas (MMcf)</t>
  </si>
  <si>
    <t>POTENTIAL EMISSIONS</t>
  </si>
  <si>
    <t>UMA Dorm</t>
  </si>
  <si>
    <t>University of Massachusetts</t>
  </si>
  <si>
    <t>Diesel Generator Emissions - Actual and Potential</t>
  </si>
  <si>
    <t>Actual Emissions (tpy)</t>
  </si>
  <si>
    <t>Potential Emissions (tpy)</t>
  </si>
  <si>
    <t>Output kW</t>
  </si>
  <si>
    <t>Input Rate (MMBTU/hr)</t>
  </si>
  <si>
    <t>Run time (hr/yr)</t>
  </si>
  <si>
    <t>Total Input MMBtu/yr</t>
  </si>
  <si>
    <t>Conte Polymer Ctr</t>
  </si>
  <si>
    <t>Group 1 Total:</t>
  </si>
  <si>
    <t>Group 2 Total:</t>
  </si>
  <si>
    <t>Brooks Hall-Node 4</t>
  </si>
  <si>
    <t>Sylvan-Node 6</t>
  </si>
  <si>
    <t>Engineering Lab II</t>
  </si>
  <si>
    <t>Group 3 Total:</t>
  </si>
  <si>
    <t>Coolidge house</t>
  </si>
  <si>
    <t>Cummins</t>
  </si>
  <si>
    <t>John Adams house</t>
  </si>
  <si>
    <t>John Quincy Adams</t>
  </si>
  <si>
    <t>Kennedy house</t>
  </si>
  <si>
    <t>Skinner Hall</t>
  </si>
  <si>
    <t>Washington house</t>
  </si>
  <si>
    <t>Berkshire House</t>
  </si>
  <si>
    <t>UMPD</t>
  </si>
  <si>
    <t>Group 4 Total:</t>
  </si>
  <si>
    <t>Animal Care</t>
  </si>
  <si>
    <t>Group 5 Total:</t>
  </si>
  <si>
    <t>Brown house</t>
  </si>
  <si>
    <t>Cance house</t>
  </si>
  <si>
    <t>Cashin house</t>
  </si>
  <si>
    <t>Crampton house</t>
  </si>
  <si>
    <t>McNamara house</t>
  </si>
  <si>
    <t>Moore house</t>
  </si>
  <si>
    <t>Pierpont house</t>
  </si>
  <si>
    <t>Tobin</t>
  </si>
  <si>
    <t>Van Meter</t>
  </si>
  <si>
    <t>Cummings</t>
  </si>
  <si>
    <t>Group 6 Total:</t>
  </si>
  <si>
    <t>Emission Factors</t>
  </si>
  <si>
    <t>(Manufact. Test data)</t>
  </si>
  <si>
    <t>Stockbridge Hall</t>
  </si>
  <si>
    <t>Physical Plant</t>
  </si>
  <si>
    <t>Comp. Science Bldg.</t>
  </si>
  <si>
    <t>#200 Boiler-Oil</t>
  </si>
  <si>
    <t>#200 Boiler-NG</t>
  </si>
  <si>
    <t>#300 Boiler-Oil</t>
  </si>
  <si>
    <t>#300 Boiler-NG</t>
  </si>
  <si>
    <t>#400 Boiler-Oil</t>
  </si>
  <si>
    <t>#400 Boiler-NG</t>
  </si>
  <si>
    <t>hp</t>
  </si>
  <si>
    <t>Assume 80% efficiency</t>
  </si>
  <si>
    <t>Rating Calcs for Morrill Temp Boilers</t>
  </si>
  <si>
    <t>hp to MMBtu/hr</t>
  </si>
  <si>
    <t>Furcolo Hall (EU27)</t>
  </si>
  <si>
    <t>UMass Emergency Generator Emissions - Natural Gas</t>
  </si>
  <si>
    <t>Cold Cleaning Degreaser</t>
  </si>
  <si>
    <t>tons/yr</t>
  </si>
  <si>
    <t>Potential VOC Emissions, tons/yr</t>
  </si>
  <si>
    <t>Total Oil MMBtu:</t>
  </si>
  <si>
    <t>EF</t>
  </si>
  <si>
    <t>191 Fearing Street</t>
  </si>
  <si>
    <t>PM/PM10</t>
  </si>
  <si>
    <t>Group 7</t>
  </si>
  <si>
    <t>CTG-NG</t>
  </si>
  <si>
    <t>CTG-DSL</t>
  </si>
  <si>
    <t>Total CF</t>
  </si>
  <si>
    <t>therm</t>
  </si>
  <si>
    <t>MMCF</t>
  </si>
  <si>
    <t>heating value Distillate, Btu/gal</t>
  </si>
  <si>
    <t>heating value Natural Gas, Btu/cf</t>
  </si>
  <si>
    <t>Ammonium hydroxide</t>
  </si>
  <si>
    <t>Biodiesel (BD20)</t>
  </si>
  <si>
    <t>2012 gal</t>
  </si>
  <si>
    <t>2012 emissions</t>
  </si>
  <si>
    <t>potential</t>
  </si>
  <si>
    <t>lb NH3</t>
  </si>
  <si>
    <t>ton NH3</t>
  </si>
  <si>
    <t>UMPD Generator Tank</t>
  </si>
  <si>
    <t>Oil Generator</t>
  </si>
  <si>
    <t>NG generator</t>
  </si>
  <si>
    <t>NG Space Heating</t>
  </si>
  <si>
    <t>NG Cooking</t>
  </si>
  <si>
    <t>Propane Cooking and Heating</t>
  </si>
  <si>
    <t>See Naptha disposal below</t>
  </si>
  <si>
    <t>ef</t>
  </si>
  <si>
    <t>(2) 234,810 Gallon ULSD Storage Tank</t>
  </si>
  <si>
    <t>38 &amp; 40</t>
  </si>
  <si>
    <t>eDEP Data entry</t>
  </si>
  <si>
    <t>TES</t>
  </si>
  <si>
    <t>NO2</t>
  </si>
  <si>
    <t>Act</t>
  </si>
  <si>
    <t>Pot</t>
  </si>
  <si>
    <t>Group 9 Total:</t>
  </si>
  <si>
    <t>MMCF/hr</t>
  </si>
  <si>
    <t>Potential Fuel Use =</t>
  </si>
  <si>
    <t>Emission Factor (lb/MMCF)</t>
  </si>
  <si>
    <t>Actual Emissions (lb/yr)</t>
  </si>
  <si>
    <t>Potential Emissions (lb/yr)</t>
  </si>
  <si>
    <t>NMTOC</t>
  </si>
  <si>
    <t>therm/yr</t>
  </si>
  <si>
    <t>Various Space Heaters (approx 24 units) - see listing on NG, Diesel and Propane total sheet</t>
  </si>
  <si>
    <t>MMCF/yr (potential)</t>
  </si>
  <si>
    <t>rating</t>
  </si>
  <si>
    <t>Space Heating - NG</t>
  </si>
  <si>
    <t>Life Science Diesel Emergency Generator - Group 9</t>
  </si>
  <si>
    <t>UMASS - Amherst</t>
  </si>
  <si>
    <t>Assume conservative rating of 1 MMBtu/hr per unit, 24 units</t>
  </si>
  <si>
    <t>MMBtu/yr (based on 8760 hr/yr, 24 units, 1 MMBtu/hr each)</t>
  </si>
  <si>
    <t>Emission Factor Basis, AP-42 Section 1.4, Boilers &lt; 100 MMBtu/hr</t>
  </si>
  <si>
    <t>Fuel Use:</t>
  </si>
  <si>
    <t>Hours of Operation:</t>
  </si>
  <si>
    <t>240 Thatcher Way- Lab Science</t>
  </si>
  <si>
    <t>Emergency Generator - 150 Infirmary Way</t>
  </si>
  <si>
    <t>Grad Research Ctr - 740 N Pleasant</t>
  </si>
  <si>
    <t>GREENHOUSE # 146  203 NATURAL RESOURCES RD</t>
  </si>
  <si>
    <t>GREENHOUSE # 548  203 NATURAL RESOURCES RD</t>
  </si>
  <si>
    <t>Hampden Dining - 131 Southwest Cir</t>
  </si>
  <si>
    <t>Hampshire Dining - 141 Southwest Cir</t>
  </si>
  <si>
    <t>Hasbrouck  Hall Left - 666 N Pleasant</t>
  </si>
  <si>
    <t>Hasbrouck  Hall Right - 666 N Pleasant</t>
  </si>
  <si>
    <t>Health Center - 150 Infirmary Way</t>
  </si>
  <si>
    <t>Patterson Dorm - 204 Sunset Ave</t>
  </si>
  <si>
    <t>Student Union - 41 Campus Ctr Way</t>
  </si>
  <si>
    <t>Tillson Station - 110 Tillson Farm Rd</t>
  </si>
  <si>
    <t>Worcester Dining - 669 N Pleasant</t>
  </si>
  <si>
    <t>31 Club House Road - Bowditch Lodge</t>
  </si>
  <si>
    <t>41 Club House Rd - Farley Lodge</t>
  </si>
  <si>
    <t>Fernald Hall 270 Stockbridge Rd</t>
  </si>
  <si>
    <t>Small Boiler Calcs</t>
  </si>
  <si>
    <t>Brett Hall</t>
  </si>
  <si>
    <t>Chancellor</t>
  </si>
  <si>
    <t>Draper</t>
  </si>
  <si>
    <t>Fine arts</t>
  </si>
  <si>
    <t>Emission Unit 21</t>
  </si>
  <si>
    <t>Tillson Sawmill</t>
  </si>
  <si>
    <t>Emission Unit 28</t>
  </si>
  <si>
    <t>Dickinson</t>
  </si>
  <si>
    <t xml:space="preserve"> Honors College </t>
  </si>
  <si>
    <t>Integrated Science Building</t>
  </si>
  <si>
    <t>Webster House</t>
  </si>
  <si>
    <t xml:space="preserve">Goessmann </t>
  </si>
  <si>
    <t>Life Sciences - 2</t>
  </si>
  <si>
    <t>Life Sciences - 1</t>
  </si>
  <si>
    <t>Morrill (Public Health)</t>
  </si>
  <si>
    <t>PVTA - 2 (Bus Garage)</t>
  </si>
  <si>
    <t xml:space="preserve">Totman </t>
  </si>
  <si>
    <t>D North - Housing Bldg. North Dorm</t>
  </si>
  <si>
    <t>Emerson House</t>
  </si>
  <si>
    <t>GGMB-1205290</t>
  </si>
  <si>
    <t>1010JC3R/1J</t>
  </si>
  <si>
    <t>1G0857725</t>
  </si>
  <si>
    <t>Lederle GRC</t>
  </si>
  <si>
    <t>McGuirk Stadium</t>
  </si>
  <si>
    <t>Melville</t>
  </si>
  <si>
    <t>Paige</t>
  </si>
  <si>
    <t>Rec Center</t>
  </si>
  <si>
    <t>Health Center South Wing</t>
  </si>
  <si>
    <t>Research and Education Greenhouse (Bowditch)</t>
  </si>
  <si>
    <t>GROUP 1 - DIESEL</t>
  </si>
  <si>
    <t>GROUP 2 - DIESEL</t>
  </si>
  <si>
    <t>GROUP 3 - DIESEL</t>
  </si>
  <si>
    <t>GROUP 4 - DIESEL</t>
  </si>
  <si>
    <t>GROUP 5 - DIESEL</t>
  </si>
  <si>
    <t>GROUP 6 - DIESEL</t>
  </si>
  <si>
    <t>Group 9 - DIESEL</t>
  </si>
  <si>
    <t>Em. Gen. Group 9</t>
  </si>
  <si>
    <t xml:space="preserve">Fleet Diesel Tank </t>
  </si>
  <si>
    <t>COMM DISORDERS - 358 N Pleasant</t>
  </si>
  <si>
    <t>Dubois Library - 154 Hicks Way</t>
  </si>
  <si>
    <t>ECSC #2, Eng. Comp Sci Complex - 140 Governors Dr</t>
  </si>
  <si>
    <t>758 N. Pleasant - Holocaust Memorial</t>
  </si>
  <si>
    <t>Fearing Street Boiler</t>
  </si>
  <si>
    <t>101 Commonwealth Ave ROTC</t>
  </si>
  <si>
    <t>RTIC Furnaces Total Use (from Berkshire Gas) =</t>
  </si>
  <si>
    <t>Gas</t>
  </si>
  <si>
    <t>Oil</t>
  </si>
  <si>
    <t>Hours</t>
  </si>
  <si>
    <t>[lbs]</t>
  </si>
  <si>
    <t>[hours]</t>
  </si>
  <si>
    <t>TOTAL</t>
  </si>
  <si>
    <t>DB Fuel</t>
  </si>
  <si>
    <t>[Kscf]</t>
  </si>
  <si>
    <t>From "Spray Booth VOCs.pdf"</t>
  </si>
  <si>
    <t xml:space="preserve">Prince house </t>
  </si>
  <si>
    <t xml:space="preserve">Total Fuel </t>
  </si>
  <si>
    <t>CTG-oil w/o DB</t>
  </si>
  <si>
    <t>EF lb/mmbtu</t>
  </si>
  <si>
    <t>EF (lb/mcf)</t>
  </si>
  <si>
    <t>UMASS - Amherst Campus</t>
  </si>
  <si>
    <t>Actual emissions</t>
  </si>
  <si>
    <t>Facility Operations</t>
  </si>
  <si>
    <t>Hr/day</t>
  </si>
  <si>
    <t>Day/wk</t>
  </si>
  <si>
    <t>Week/yr</t>
  </si>
  <si>
    <t>Hrs/Yr</t>
  </si>
  <si>
    <t>EF (lb/gal)</t>
  </si>
  <si>
    <t>Paint average lb VOC/gal solvent</t>
  </si>
  <si>
    <t>lb VOC /gal</t>
  </si>
  <si>
    <t>Boyden Gym - 131 Commonwealth Ave</t>
  </si>
  <si>
    <t>Chiller Facility - 191 Governor's Dr</t>
  </si>
  <si>
    <t>Btu/scf **</t>
  </si>
  <si>
    <t>* 2/26/13, AmSpec Analysis.</t>
  </si>
  <si>
    <t>Space Heating/Cooking-Propane</t>
  </si>
  <si>
    <t>total gallons propane (onsite use only)</t>
  </si>
  <si>
    <t>See worksheet, "Berkshire Gas RTIC and UMTS"</t>
  </si>
  <si>
    <t xml:space="preserve">257 Governors Way, Bus Garage - </t>
  </si>
  <si>
    <t>Asset Number</t>
  </si>
  <si>
    <t>057EG-001</t>
  </si>
  <si>
    <t>128-EG-1</t>
  </si>
  <si>
    <t>Gorman House</t>
  </si>
  <si>
    <t>294EG0-001</t>
  </si>
  <si>
    <t>Bus Garage</t>
  </si>
  <si>
    <t>546EG-002</t>
  </si>
  <si>
    <t>546EG-001</t>
  </si>
  <si>
    <t>NG</t>
  </si>
  <si>
    <t>Auxiliary Services Cold Storage</t>
  </si>
  <si>
    <t>605EG-001</t>
  </si>
  <si>
    <t>ISB</t>
  </si>
  <si>
    <t>676-FOTT-1.1</t>
  </si>
  <si>
    <t>Recreation Building</t>
  </si>
  <si>
    <t>678EG-001</t>
  </si>
  <si>
    <t>Grounds Maintenance (Tilson)</t>
  </si>
  <si>
    <t>684EG-001</t>
  </si>
  <si>
    <t>693EG-001</t>
  </si>
  <si>
    <t>Life Science Labs 1</t>
  </si>
  <si>
    <t>694GEN-001</t>
  </si>
  <si>
    <t>Life Science Labs 2</t>
  </si>
  <si>
    <t>694GEN-002</t>
  </si>
  <si>
    <t>CNS Greenhouse (Bowditch)</t>
  </si>
  <si>
    <t>701EG-1</t>
  </si>
  <si>
    <t>Integrative Learning Center</t>
  </si>
  <si>
    <t>704EG-001</t>
  </si>
  <si>
    <t>Honors College</t>
  </si>
  <si>
    <t>711EG-001</t>
  </si>
  <si>
    <t>EG0007-001</t>
  </si>
  <si>
    <t>EG0032-045</t>
  </si>
  <si>
    <t>Goessmann</t>
  </si>
  <si>
    <t>EG0081-001</t>
  </si>
  <si>
    <t>EG0087-001</t>
  </si>
  <si>
    <t>Paige Lab</t>
  </si>
  <si>
    <t>120EG-1</t>
  </si>
  <si>
    <t>Totman Physical Ed.</t>
  </si>
  <si>
    <t>EG0123-030</t>
  </si>
  <si>
    <t>EG0130-032</t>
  </si>
  <si>
    <t>Dickinson #2</t>
  </si>
  <si>
    <t>EG0132-001</t>
  </si>
  <si>
    <t>EG0170-056</t>
  </si>
  <si>
    <t>University Health Ctr</t>
  </si>
  <si>
    <t>EG0291-001</t>
  </si>
  <si>
    <t>EG0295</t>
  </si>
  <si>
    <t>Webster House (orchard hill)</t>
  </si>
  <si>
    <t>EG0333-001</t>
  </si>
  <si>
    <t>EG0334-002</t>
  </si>
  <si>
    <t>EG0345-001</t>
  </si>
  <si>
    <t>EG0348-017</t>
  </si>
  <si>
    <t>Melville house</t>
  </si>
  <si>
    <t>EG0349-018</t>
  </si>
  <si>
    <t>James house</t>
  </si>
  <si>
    <t>EG0350-019</t>
  </si>
  <si>
    <t>Emerson house</t>
  </si>
  <si>
    <t>EG0351-020</t>
  </si>
  <si>
    <t>EG0352-013</t>
  </si>
  <si>
    <t>EG0353-014</t>
  </si>
  <si>
    <t>EG0354-011</t>
  </si>
  <si>
    <t>EG0355-010</t>
  </si>
  <si>
    <t>EG0356.012</t>
  </si>
  <si>
    <t>EG0378-008</t>
  </si>
  <si>
    <t>EG0380-006</t>
  </si>
  <si>
    <t>Prince house</t>
  </si>
  <si>
    <t>EG0381-009</t>
  </si>
  <si>
    <t>EG0382-015</t>
  </si>
  <si>
    <t>EG0400-022</t>
  </si>
  <si>
    <t>EG0401-024</t>
  </si>
  <si>
    <t>EG0402-023</t>
  </si>
  <si>
    <t>Lederle LGRC</t>
  </si>
  <si>
    <t>EG0412-035</t>
  </si>
  <si>
    <t>EG0413-025</t>
  </si>
  <si>
    <t>EG0415-033</t>
  </si>
  <si>
    <t>EG0417-034</t>
  </si>
  <si>
    <t>EG0420-036</t>
  </si>
  <si>
    <t>EG0426-028</t>
  </si>
  <si>
    <t>EG0427-027</t>
  </si>
  <si>
    <t>EG0428-029</t>
  </si>
  <si>
    <t>EG0614-040</t>
  </si>
  <si>
    <t>EG0651-041</t>
  </si>
  <si>
    <t>EG0653-049</t>
  </si>
  <si>
    <t>SOM Addition</t>
  </si>
  <si>
    <t>EG0655-000</t>
  </si>
  <si>
    <t>EG0657-043</t>
  </si>
  <si>
    <t>Housing Bldg. North Dorm</t>
  </si>
  <si>
    <t>EG0673-046</t>
  </si>
  <si>
    <t>EG126-1</t>
  </si>
  <si>
    <t>John Deere</t>
  </si>
  <si>
    <t>CHP Blackstart</t>
  </si>
  <si>
    <t>Mullins</t>
  </si>
  <si>
    <t>EG0477-001</t>
  </si>
  <si>
    <t>Southwest-Node 2</t>
  </si>
  <si>
    <t>Performance Center (McGuirk)</t>
  </si>
  <si>
    <t>716EG-001</t>
  </si>
  <si>
    <t>Parts Solvent Purchased</t>
  </si>
  <si>
    <t>Parts Solvent Discarded</t>
  </si>
  <si>
    <t>Product</t>
  </si>
  <si>
    <t>Thruput</t>
  </si>
  <si>
    <t>Antifreeze/Coolant</t>
  </si>
  <si>
    <t>Hydraulic Fluid</t>
  </si>
  <si>
    <t>pounds</t>
  </si>
  <si>
    <t>UMASS - AMHERST</t>
  </si>
  <si>
    <t xml:space="preserve">Aux. Services Cold Storage </t>
  </si>
  <si>
    <t xml:space="preserve">Integrative Learning Center </t>
  </si>
  <si>
    <t>Patterson house</t>
  </si>
  <si>
    <t>Patterson</t>
  </si>
  <si>
    <t xml:space="preserve">James House </t>
  </si>
  <si>
    <t>Run Time</t>
  </si>
  <si>
    <t>pollutant</t>
  </si>
  <si>
    <t>HP
(output)</t>
  </si>
  <si>
    <t>BTU 
(input)</t>
  </si>
  <si>
    <r>
      <t>NH</t>
    </r>
    <r>
      <rPr>
        <vertAlign val="subscript"/>
        <sz val="11"/>
        <rFont val="Calibri"/>
        <family val="2"/>
      </rPr>
      <t>3</t>
    </r>
  </si>
  <si>
    <t>Elapsed time (hrs)</t>
  </si>
  <si>
    <t>from Emergency Generator Run Times.xls</t>
  </si>
  <si>
    <t>(2) 550 gal Diesel Storage Tanks-AG</t>
  </si>
  <si>
    <t>#2 Fuel Oil</t>
  </si>
  <si>
    <t xml:space="preserve">Life Sciences </t>
  </si>
  <si>
    <t xml:space="preserve">Life Sciences Generator potential </t>
  </si>
  <si>
    <t>5,000 gal Diesel Storage Tank (UMPD) - UG</t>
  </si>
  <si>
    <t>5,000 gal Diesel Storage Tank (Life Sciences) - AG</t>
  </si>
  <si>
    <t>Potential Emissions (See note)</t>
  </si>
  <si>
    <t>Potential Emissions (tpy) (See note)</t>
  </si>
  <si>
    <t>15W-40 Motor Oil (2 Tanks)</t>
  </si>
  <si>
    <t>R-134A Refrigerent</t>
  </si>
  <si>
    <t xml:space="preserve">Diesel Generator Fuel </t>
  </si>
  <si>
    <t xml:space="preserve">Nat Gas Generator Fuel </t>
  </si>
  <si>
    <t>128 Tillson Farm Rd (Formerly 386)</t>
  </si>
  <si>
    <t>31 Cold Storage Dr.</t>
  </si>
  <si>
    <t>809 N Pleasant St Montague HSE</t>
  </si>
  <si>
    <t>990 N.PLEASANT ST North Village</t>
  </si>
  <si>
    <t>Chenoweth Lab - 100 Holdsworth</t>
  </si>
  <si>
    <t>Goessman Lab - 686 N Pleasant</t>
  </si>
  <si>
    <t>Turf Research - 23 River Rd</t>
  </si>
  <si>
    <t>UMASS/TILSON FARM/ANIM HSE</t>
  </si>
  <si>
    <t>Studio Arts - 110 Thatcher Rd</t>
  </si>
  <si>
    <t>EU28 Total</t>
  </si>
  <si>
    <t>Furcolo Hall (EU 27)</t>
  </si>
  <si>
    <t>EU 28 Total</t>
  </si>
  <si>
    <r>
      <t>NH</t>
    </r>
    <r>
      <rPr>
        <vertAlign val="subscript"/>
        <sz val="10"/>
        <color indexed="8"/>
        <rFont val="Calibri"/>
        <family val="2"/>
      </rPr>
      <t>3</t>
    </r>
  </si>
  <si>
    <r>
      <t>PM</t>
    </r>
    <r>
      <rPr>
        <vertAlign val="subscript"/>
        <sz val="10"/>
        <color indexed="8"/>
        <rFont val="Calibri"/>
        <family val="2"/>
      </rPr>
      <t>10</t>
    </r>
  </si>
  <si>
    <r>
      <t>SO</t>
    </r>
    <r>
      <rPr>
        <vertAlign val="subscript"/>
        <sz val="10"/>
        <color indexed="8"/>
        <rFont val="Calibri"/>
        <family val="2"/>
      </rPr>
      <t>2</t>
    </r>
  </si>
  <si>
    <r>
      <t>**SO</t>
    </r>
    <r>
      <rPr>
        <vertAlign val="subscript"/>
        <sz val="10"/>
        <color indexed="8"/>
        <rFont val="Calibri"/>
        <family val="2"/>
      </rPr>
      <t>2</t>
    </r>
    <r>
      <rPr>
        <sz val="10"/>
        <color indexed="8"/>
        <rFont val="Calibri"/>
        <family val="2"/>
      </rPr>
      <t xml:space="preserve"> emissions are based on a maximum sulfur content fuel of 0.0015%.  Density of fuel equals 7.13 lb/gal.</t>
    </r>
  </si>
  <si>
    <r>
      <t xml:space="preserve">     (SO</t>
    </r>
    <r>
      <rPr>
        <vertAlign val="subscript"/>
        <sz val="10"/>
        <color indexed="8"/>
        <rFont val="Calibri"/>
        <family val="2"/>
      </rPr>
      <t>2</t>
    </r>
    <r>
      <rPr>
        <sz val="10"/>
        <color indexed="8"/>
        <rFont val="Calibri"/>
        <family val="2"/>
      </rPr>
      <t xml:space="preserve"> = fuel use, gal*7.13 lb/gal*0.000015*2/2000 )</t>
    </r>
  </si>
  <si>
    <t>Unit Rating btu/hr</t>
  </si>
  <si>
    <t>UMTA =120 gal</t>
  </si>
  <si>
    <t>Studio Arts</t>
  </si>
  <si>
    <t>CHP</t>
  </si>
  <si>
    <t>Pump Shop</t>
  </si>
  <si>
    <t>Small Engine</t>
  </si>
  <si>
    <t xml:space="preserve">Fleet </t>
  </si>
  <si>
    <t>UMTA</t>
  </si>
  <si>
    <t>liters</t>
  </si>
  <si>
    <t>percent by weight VOC</t>
  </si>
  <si>
    <t>ton VOC</t>
  </si>
  <si>
    <t>lb/ton</t>
  </si>
  <si>
    <t>total raw material</t>
  </si>
  <si>
    <t>Operating schedule:</t>
  </si>
  <si>
    <t>1 hr/day, 7 day/wk, 52 wk/yr</t>
  </si>
  <si>
    <t>Total usage = waste + 5% emissions</t>
  </si>
  <si>
    <t>LNG Facility</t>
  </si>
  <si>
    <t>Burner Model No.</t>
  </si>
  <si>
    <t>8 HC Tube-O-Therm</t>
  </si>
  <si>
    <t>Aboveground LNG Tanks (TK-01, TK-02, TK-03)</t>
  </si>
  <si>
    <t>TK-01</t>
  </si>
  <si>
    <t>TK-02</t>
  </si>
  <si>
    <t>TK-03</t>
  </si>
  <si>
    <t>Capacity (gal)</t>
  </si>
  <si>
    <t>temp (F)</t>
  </si>
  <si>
    <t xml:space="preserve">psi </t>
  </si>
  <si>
    <t>Throughput (gal)</t>
  </si>
  <si>
    <t>Monthly conversion factors:</t>
  </si>
  <si>
    <t>$/MMBTU</t>
  </si>
  <si>
    <t>dth/lb.</t>
  </si>
  <si>
    <t>Lederle (LGRC)-Node 5</t>
  </si>
  <si>
    <t>Lederle (Node 5)</t>
  </si>
  <si>
    <t>Off-site</t>
  </si>
  <si>
    <t>Isenburg SOM Addition</t>
  </si>
  <si>
    <t>North village</t>
  </si>
  <si>
    <t>Group 8 - DIESEL</t>
  </si>
  <si>
    <t>Group 8 Total:</t>
  </si>
  <si>
    <t>North Village</t>
  </si>
  <si>
    <t>Space Heating - propane</t>
  </si>
  <si>
    <t>Emission Factor (lb/1000 gal)</t>
  </si>
  <si>
    <t>btu/gal</t>
  </si>
  <si>
    <t>1000 gal/yr (potential)</t>
  </si>
  <si>
    <t>gal/yr</t>
  </si>
  <si>
    <t>1000 gal/yr</t>
  </si>
  <si>
    <t>Assume conservative rating of 1 MMBtu/hr per unit, 23 units</t>
  </si>
  <si>
    <t>MMBtu/yr (based on 8760 hr/yr, 23 units, 1 MMBtu/hr each)</t>
  </si>
  <si>
    <t>Emission Factor Basis, AP-42 Section 1.5 LPG Combustion.  Table 1.5-1, Commercial Boilers (SCC 1-03-010-02)</t>
  </si>
  <si>
    <t>Lincoln Campus Center Parking</t>
  </si>
  <si>
    <t>Lincoln Campus Ctr Parking</t>
  </si>
  <si>
    <t>VOC EF based on stack data</t>
  </si>
  <si>
    <t>Actual usage</t>
  </si>
  <si>
    <t>LNG burners</t>
  </si>
  <si>
    <t>%</t>
  </si>
  <si>
    <t>% S (260 ppm, based on range of  50 and 259 ppm.)</t>
  </si>
  <si>
    <t>LNG Tank (TK-01)</t>
  </si>
  <si>
    <t>LNG Tank (TK-02)</t>
  </si>
  <si>
    <t>LNG Tank (TK-03)</t>
  </si>
  <si>
    <t>LNG</t>
  </si>
  <si>
    <t>Tube-O-Therm Burners (2) - NG</t>
  </si>
  <si>
    <t>days</t>
  </si>
  <si>
    <t>Rating</t>
  </si>
  <si>
    <t>Model #</t>
  </si>
  <si>
    <t xml:space="preserve"> IFWB300-DRB-C</t>
  </si>
  <si>
    <t>Commission date</t>
  </si>
  <si>
    <t>Two units, only one runs at a time.</t>
  </si>
  <si>
    <t>Actual Fuel use</t>
  </si>
  <si>
    <t>Potential Fuel use</t>
  </si>
  <si>
    <t>Lincoln Campus Center Parking Diesel Generator - Group 8</t>
  </si>
  <si>
    <t>CO2 emissions (tons)</t>
  </si>
  <si>
    <t>Lb CH4 Emissions</t>
  </si>
  <si>
    <t>CH4 emissions (tons)</t>
  </si>
  <si>
    <t>lb N2O Emissions</t>
  </si>
  <si>
    <t>N2O emissions (tons)</t>
  </si>
  <si>
    <t>lb/MMCF</t>
  </si>
  <si>
    <t>lb/Mmbtu</t>
  </si>
  <si>
    <t>lb/MMBTU</t>
  </si>
  <si>
    <t>lb/mmbtu</t>
  </si>
  <si>
    <t xml:space="preserve">Subtotal Stationary Combustion (T/yr)  </t>
  </si>
  <si>
    <t xml:space="preserve">Subtotal Stationary Combustion (lb/yr)  </t>
  </si>
  <si>
    <t>Oil generator</t>
  </si>
  <si>
    <t>CH4 Emissions</t>
  </si>
  <si>
    <t xml:space="preserve">N2O Emissions </t>
  </si>
  <si>
    <t>CO2 Emissions</t>
  </si>
  <si>
    <t xml:space="preserve">CO2 Emission Factor </t>
  </si>
  <si>
    <t>Emission Factor basis is default MassDEP value</t>
  </si>
  <si>
    <t>CO2 Emissions (lbs)</t>
  </si>
  <si>
    <t>Q1</t>
  </si>
  <si>
    <t>Q2</t>
  </si>
  <si>
    <t>Q3</t>
  </si>
  <si>
    <t>Q4</t>
  </si>
  <si>
    <t>Note: Potential emissions are based on the 300 hours, in accordance with MassDEP guidance</t>
  </si>
  <si>
    <t>Potential emissions based on operating permit limit of 300 hr/yr.</t>
  </si>
  <si>
    <t>9.19S+3.22</t>
  </si>
  <si>
    <t>Design Emission Factor*</t>
  </si>
  <si>
    <t xml:space="preserve"> (lb/hr)</t>
  </si>
  <si>
    <t>EF (lb/1000 gal)</t>
  </si>
  <si>
    <t>Annual Natural Gas use, mMCF</t>
  </si>
  <si>
    <t>Dining Commons is not SR reportable and has a GHG-Only form</t>
  </si>
  <si>
    <t>LNG Facility - EU45</t>
  </si>
  <si>
    <t>NOx, CO, and NH3 actual emissions are obtained from CEMS, VOC based on stack data.</t>
  </si>
  <si>
    <t>*PM and PM10 EF based on AP-42, Table 3.1-2, filterable portion only.</t>
  </si>
  <si>
    <t>Boiler 200 Operating Year 2018</t>
  </si>
  <si>
    <t>Boiler 300 Operating Year 2018</t>
  </si>
  <si>
    <t>Boiler 400 Operating Year 2018</t>
  </si>
  <si>
    <t>CTG Operating Year 2018</t>
  </si>
  <si>
    <t>2018 CTG</t>
  </si>
  <si>
    <t>ATC fuel oil analysis (Jan 2019)</t>
  </si>
  <si>
    <t xml:space="preserve">** e-mail from G. Ritter 1/24/17, value is 2016 average from Berkshire Gas </t>
  </si>
  <si>
    <t>Total CY 18 (Supply Therm Units)</t>
  </si>
  <si>
    <t>UMass Dining Common and Misc Small Source NG Fuel Use - 2018</t>
  </si>
  <si>
    <t>386 Tillson Farm Rd</t>
  </si>
  <si>
    <t>Copper Kettle, Franklin - 260 Stockbridge Rd</t>
  </si>
  <si>
    <t>Furcolo Hall - 813 N Pleasant St (small boiler calcs)</t>
  </si>
  <si>
    <t>McGuirk Stadium (Small boiler calcs)</t>
  </si>
  <si>
    <t>Transit Garage (small boilers - NG)</t>
  </si>
  <si>
    <t>911 N.Pleasant St., Wysocki House (small boiler calcs)</t>
  </si>
  <si>
    <t>RTIC Furnaces (from Berkshire Gas)</t>
  </si>
  <si>
    <t>UMTS Boiler Total Use (from Berkshire Gas) =</t>
  </si>
  <si>
    <t>-</t>
  </si>
  <si>
    <t>Bowdich House</t>
  </si>
  <si>
    <t>Listing from "Nat Gas-Propane-Oil Amherst-Calendar Yr 2018.xls"</t>
  </si>
  <si>
    <t>Amherst</t>
  </si>
  <si>
    <t>Morrill Science #5</t>
  </si>
  <si>
    <t>Hadley</t>
  </si>
  <si>
    <t>Power Plant</t>
  </si>
  <si>
    <t>200 Mullins Way  CHP</t>
  </si>
  <si>
    <t>South Deerfield</t>
  </si>
  <si>
    <t>Grand Total</t>
  </si>
  <si>
    <t>Data correct, need to check links</t>
  </si>
  <si>
    <t>Berkshire Gas Data - 2018 (email from Gary Ritter, 3/14/19)</t>
  </si>
  <si>
    <t>therms</t>
  </si>
  <si>
    <t>Transit Building 681</t>
  </si>
  <si>
    <t>2018 Annual Usage / Thruput</t>
  </si>
  <si>
    <t>UMass Transit Services - Maintenance Department</t>
  </si>
  <si>
    <t>15W-40 Motor Oil (2 tanks)</t>
  </si>
  <si>
    <t>R-134A Refrigerant</t>
  </si>
  <si>
    <t>mmbtu's</t>
  </si>
  <si>
    <t xml:space="preserve">Invoiced </t>
  </si>
  <si>
    <t xml:space="preserve">November </t>
  </si>
  <si>
    <t>October Spot</t>
  </si>
  <si>
    <t>2018 Massachusetts Source Registration Emissions Summary</t>
  </si>
  <si>
    <t>2018 Fuel Use</t>
  </si>
  <si>
    <t>2018 Federal Greenhouse Gas Reporting - eGGRT</t>
  </si>
  <si>
    <t xml:space="preserve">2018 Operating Year </t>
  </si>
  <si>
    <t>Operating data and hours from G Ritter, email 8/29/19</t>
  </si>
  <si>
    <t>2018 Emission Calculations</t>
  </si>
  <si>
    <t>2018 total</t>
  </si>
  <si>
    <t>data from Gary Ritter e-mail 8/29/19</t>
  </si>
  <si>
    <t>2018 Annual Usage / Thruput                                                 UMass Transit Services                                                              Maintenance Department</t>
  </si>
  <si>
    <t>2018 Thruput</t>
  </si>
  <si>
    <t>UMASS Oil Tank Emissions - Potential</t>
  </si>
  <si>
    <t>2018  Fuel Use</t>
  </si>
  <si>
    <t>2018 Massachusetts Greenhouse Gas Reporting</t>
  </si>
  <si>
    <t>Percent Operation by Quarter (from CEMS report)</t>
  </si>
  <si>
    <t>2018 Central Heating Plant CTG and Duct Burner - Oil Fired</t>
  </si>
  <si>
    <t>2018 Boiler Emissions</t>
  </si>
  <si>
    <t>2018 Actual and Potential Emissions</t>
  </si>
  <si>
    <t>Actual operation, 2018</t>
  </si>
  <si>
    <t>2018 LNG usage</t>
  </si>
  <si>
    <t>(assume 24/7 operation for 6 months of operation - jan, feb, mar, apr, part of October, Nov and Dec)</t>
  </si>
  <si>
    <t>assumed days of operation</t>
  </si>
  <si>
    <t>calculated gal</t>
  </si>
  <si>
    <t>convert mmbtu to gal - 0.082644 MMBtu/gal (82644 btu/gal)</t>
  </si>
  <si>
    <t>2018 Operating Year - Actual Emissions</t>
  </si>
  <si>
    <t>Emergency Generator Raw Data - 2018</t>
  </si>
  <si>
    <t>2018 Start</t>
  </si>
  <si>
    <t>2018 End</t>
  </si>
  <si>
    <t>removed</t>
  </si>
  <si>
    <t xml:space="preserve">Here is the data on the naptha </t>
  </si>
  <si>
    <t>Petroleum Naphtha with waste code D039 (tetrachloroethylene)</t>
  </si>
  <si>
    <t>Studio Arts= 70 gal</t>
  </si>
  <si>
    <t>CHP= 45 gal</t>
  </si>
  <si>
    <t>Pump shop = 69 gal</t>
  </si>
  <si>
    <t>Small Engine = 45 gal</t>
  </si>
  <si>
    <t>Fleet = 40 gal + 72 P of paint related material waste codes: F003, F005, D001, D018, D035, D039, D040</t>
  </si>
  <si>
    <t>Petroleum Naphtha waste code D001</t>
  </si>
  <si>
    <t>UMTA = 124 gal</t>
  </si>
  <si>
    <t>Have a great weekend!</t>
  </si>
  <si>
    <t>Steve</t>
  </si>
  <si>
    <t>Naptha Disposal (G. Ritter/Steve LeMay e-mail 8/30/19)</t>
  </si>
  <si>
    <t>Thoreau house new unit  4/2018</t>
  </si>
  <si>
    <t>Thoreau - NEW</t>
  </si>
  <si>
    <t>2018 Central Heating Plant CTG and Duct Burner - Natural Gas Fired</t>
  </si>
  <si>
    <t>2018 emissions</t>
  </si>
  <si>
    <t>Operating Year 2018</t>
  </si>
  <si>
    <t>2018 Natural Gas  Space Heaters Emissions</t>
  </si>
  <si>
    <t>2018 Propane Space Heaters Emissions</t>
  </si>
  <si>
    <t>2018 Annual Fuel Use =</t>
  </si>
  <si>
    <t>Gorman</t>
  </si>
  <si>
    <t>CTG on oil =</t>
  </si>
  <si>
    <t>mmbtu</t>
  </si>
  <si>
    <t>NG, MMcf / DB on NG, hours = x / total CTG run time on NG</t>
  </si>
  <si>
    <t>oil, gallons / CTG runtime oil , hours = x /CTG runtime w/o DB, hours</t>
  </si>
  <si>
    <t>(SOx = CTG on oil w/DB, gal*7.13 lb/gal*0.000015*2/2000  + 0.8 gr/100cf * lb/7,000 gr * DB - CTG on oil * 2/2000 = 0.102 tpy)</t>
  </si>
  <si>
    <t>(SOx = oil use, gal*7.13 lb/gal*0.000015*2/2000)</t>
  </si>
  <si>
    <t>g</t>
  </si>
  <si>
    <t>VOC emitted (g) from VOC report</t>
  </si>
  <si>
    <t>Assume 100% of VOCs are emitted:</t>
  </si>
  <si>
    <t>EF (lb/MMBTU)</t>
  </si>
  <si>
    <t>Diesel - PVTA</t>
  </si>
  <si>
    <t>% operation by quarter</t>
  </si>
  <si>
    <t>Diesel - Fleet</t>
  </si>
  <si>
    <t>Fleet Thruput (fluids from PVTA Fuel, Gas/Diesel from Campus Fuel Issues)</t>
  </si>
  <si>
    <t>e-CO2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</si>
</sst>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#,##0.000"/>
    <numFmt numFmtId="166" formatCode="0.0000"/>
    <numFmt numFmtId="167" formatCode="0.00000"/>
    <numFmt numFmtId="168" formatCode="0.000000"/>
    <numFmt numFmtId="169" formatCode="#,##0.0"/>
    <numFmt numFmtId="170" formatCode="0.0"/>
    <numFmt numFmtId="171" formatCode="_(* #,##0_);_(* \(#,##0\);_(* &quot;-&quot;??_);_(@_)"/>
    <numFmt numFmtId="172" formatCode="_(* #,##0.000_);_(* \(#,##0.000\);_(* &quot;-&quot;??_);_(@_)"/>
    <numFmt numFmtId="173" formatCode="_(* #,##0.0000_);_(* \(#,##0.0000\);_(* &quot;-&quot;??_);_(@_)"/>
    <numFmt numFmtId="174" formatCode="_(* #,##0.0_);_(* \(#,##0.0\);_(* &quot;-&quot;??_);_(@_)"/>
    <numFmt numFmtId="175" formatCode="0.0%"/>
    <numFmt numFmtId="176" formatCode="0.0000%"/>
    <numFmt numFmtId="177" formatCode="#,##0.000000000"/>
    <numFmt numFmtId="178" formatCode="#,##0.000000"/>
    <numFmt numFmtId="179" formatCode="#,##0.00000000"/>
  </numFmts>
  <fonts count="8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vertAlign val="subscript"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bscript"/>
      <sz val="10"/>
      <color indexed="8"/>
      <name val="Arial"/>
      <family val="2"/>
    </font>
    <font>
      <sz val="12"/>
      <name val="Arial"/>
      <family val="2"/>
    </font>
    <font>
      <sz val="8"/>
      <name val="Arial"/>
      <family val="2"/>
    </font>
    <font>
      <vertAlign val="subscript"/>
      <sz val="10"/>
      <name val="Arial"/>
      <family val="2"/>
    </font>
    <font>
      <b/>
      <sz val="12"/>
      <name val="Calibri"/>
      <family val="2"/>
    </font>
    <font>
      <b/>
      <vertAlign val="subscript"/>
      <sz val="12"/>
      <name val="Calibri"/>
      <family val="2"/>
    </font>
    <font>
      <sz val="12"/>
      <name val="Calibri"/>
      <family val="2"/>
    </font>
    <font>
      <b/>
      <sz val="14"/>
      <name val="Calibri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bscript"/>
      <sz val="11"/>
      <name val="Calibri"/>
      <family val="2"/>
    </font>
    <font>
      <sz val="10"/>
      <color indexed="8"/>
      <name val="Calibri"/>
      <family val="2"/>
    </font>
    <font>
      <vertAlign val="subscript"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</font>
    <font>
      <sz val="12"/>
      <color theme="1" tint="0.499984740745262"/>
      <name val="Calibri"/>
      <family val="2"/>
    </font>
    <font>
      <b/>
      <sz val="12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mbria"/>
      <family val="1"/>
    </font>
    <font>
      <b/>
      <sz val="11"/>
      <color rgb="FFFFFFFF"/>
      <name val="Calibri"/>
      <family val="2"/>
    </font>
    <font>
      <sz val="10"/>
      <color rgb="FF000000"/>
      <name val="Calibri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sz val="10"/>
      <name val="Times New Roman"/>
      <family val="1"/>
    </font>
    <font>
      <sz val="14"/>
      <color rgb="FF000000"/>
      <name val="Calibri"/>
      <family val="2"/>
    </font>
    <font>
      <b/>
      <sz val="11"/>
      <color theme="1"/>
      <name val="Calibri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b/>
      <sz val="11"/>
      <color rgb="FF000000"/>
      <name val="Calibri"/>
      <family val="2"/>
    </font>
    <font>
      <i/>
      <sz val="11"/>
      <color rgb="FFFF0000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714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30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9" tint="0.59999389629810485"/>
      </top>
      <bottom style="thin">
        <color theme="9" tint="0.59999389629810485"/>
      </bottom>
      <diagonal/>
    </border>
  </borders>
  <cellStyleXfs count="69">
    <xf numFmtId="0" fontId="0" fillId="0" borderId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27" borderId="0" applyNumberFormat="0" applyBorder="0" applyAlignment="0" applyProtection="0"/>
    <xf numFmtId="0" fontId="28" fillId="28" borderId="113" applyNumberFormat="0" applyAlignment="0" applyProtection="0"/>
    <xf numFmtId="0" fontId="29" fillId="29" borderId="114" applyNumberFormat="0" applyAlignment="0" applyProtection="0"/>
    <xf numFmtId="4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30" borderId="0" applyNumberFormat="0" applyBorder="0" applyAlignment="0" applyProtection="0"/>
    <xf numFmtId="0" fontId="32" fillId="0" borderId="115" applyNumberFormat="0" applyFill="0" applyAlignment="0" applyProtection="0"/>
    <xf numFmtId="0" fontId="33" fillId="0" borderId="116" applyNumberFormat="0" applyFill="0" applyAlignment="0" applyProtection="0"/>
    <xf numFmtId="0" fontId="34" fillId="0" borderId="117" applyNumberFormat="0" applyFill="0" applyAlignment="0" applyProtection="0"/>
    <xf numFmtId="0" fontId="34" fillId="0" borderId="0" applyNumberFormat="0" applyFill="0" applyBorder="0" applyAlignment="0" applyProtection="0"/>
    <xf numFmtId="0" fontId="35" fillId="31" borderId="113" applyNumberFormat="0" applyAlignment="0" applyProtection="0"/>
    <xf numFmtId="0" fontId="36" fillId="0" borderId="118" applyNumberFormat="0" applyFill="0" applyAlignment="0" applyProtection="0"/>
    <xf numFmtId="0" fontId="37" fillId="32" borderId="0" applyNumberFormat="0" applyBorder="0" applyAlignment="0" applyProtection="0"/>
    <xf numFmtId="0" fontId="4" fillId="0" borderId="0"/>
    <xf numFmtId="0" fontId="25" fillId="0" borderId="0"/>
    <xf numFmtId="0" fontId="4" fillId="0" borderId="0"/>
    <xf numFmtId="0" fontId="18" fillId="0" borderId="0"/>
    <xf numFmtId="0" fontId="4" fillId="0" borderId="0"/>
    <xf numFmtId="0" fontId="19" fillId="0" borderId="0"/>
    <xf numFmtId="0" fontId="4" fillId="0" borderId="0"/>
    <xf numFmtId="0" fontId="20" fillId="0" borderId="0"/>
    <xf numFmtId="0" fontId="4" fillId="0" borderId="0"/>
    <xf numFmtId="0" fontId="21" fillId="0" borderId="0"/>
    <xf numFmtId="0" fontId="25" fillId="33" borderId="119" applyNumberFormat="0" applyFont="0" applyAlignment="0" applyProtection="0"/>
    <xf numFmtId="0" fontId="38" fillId="28" borderId="120" applyNumberFormat="0" applyAlignment="0" applyProtection="0"/>
    <xf numFmtId="9" fontId="2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1" fillId="0" borderId="0" applyFont="0" applyFill="0" applyBorder="0" applyAlignment="0" applyProtection="0"/>
    <xf numFmtId="4" fontId="10" fillId="2" borderId="1" applyNumberFormat="0" applyProtection="0">
      <alignment horizontal="left" vertical="center" indent="1"/>
    </xf>
    <xf numFmtId="4" fontId="10" fillId="0" borderId="1" applyNumberFormat="0" applyProtection="0">
      <alignment horizontal="right" vertical="center"/>
    </xf>
    <xf numFmtId="4" fontId="10" fillId="2" borderId="1" applyNumberFormat="0" applyProtection="0">
      <alignment horizontal="left" vertical="center" indent="1"/>
    </xf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21" applyNumberFormat="0" applyFill="0" applyAlignment="0" applyProtection="0"/>
    <xf numFmtId="0" fontId="42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287">
    <xf numFmtId="0" fontId="0" fillId="0" borderId="0" xfId="0"/>
    <xf numFmtId="0" fontId="43" fillId="0" borderId="0" xfId="0" applyFont="1"/>
    <xf numFmtId="3" fontId="0" fillId="0" borderId="0" xfId="0" applyNumberFormat="1"/>
    <xf numFmtId="0" fontId="41" fillId="0" borderId="0" xfId="0" applyFont="1" applyAlignment="1">
      <alignment horizontal="center"/>
    </xf>
    <xf numFmtId="0" fontId="44" fillId="0" borderId="0" xfId="0" applyFont="1"/>
    <xf numFmtId="164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/>
    <xf numFmtId="0" fontId="45" fillId="0" borderId="0" xfId="0" applyFont="1"/>
    <xf numFmtId="0" fontId="41" fillId="0" borderId="0" xfId="0" applyFont="1"/>
    <xf numFmtId="0" fontId="0" fillId="0" borderId="0" xfId="0" applyAlignment="1">
      <alignment horizontal="center"/>
    </xf>
    <xf numFmtId="0" fontId="41" fillId="0" borderId="2" xfId="0" applyFont="1" applyBorder="1"/>
    <xf numFmtId="0" fontId="41" fillId="0" borderId="2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45" fillId="0" borderId="0" xfId="0" applyFont="1" applyAlignment="1">
      <alignment horizontal="left"/>
    </xf>
    <xf numFmtId="0" fontId="46" fillId="0" borderId="0" xfId="0" applyFont="1"/>
    <xf numFmtId="2" fontId="0" fillId="0" borderId="0" xfId="0" applyNumberFormat="1"/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3" xfId="0" applyBorder="1"/>
    <xf numFmtId="0" fontId="4" fillId="0" borderId="0" xfId="0" applyFont="1"/>
    <xf numFmtId="0" fontId="47" fillId="0" borderId="0" xfId="0" applyFont="1"/>
    <xf numFmtId="4" fontId="0" fillId="0" borderId="0" xfId="0" applyNumberFormat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3" fontId="6" fillId="0" borderId="10" xfId="0" applyNumberFormat="1" applyFont="1" applyBorder="1"/>
    <xf numFmtId="166" fontId="6" fillId="0" borderId="11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0" fontId="4" fillId="0" borderId="13" xfId="0" applyFont="1" applyBorder="1"/>
    <xf numFmtId="166" fontId="4" fillId="0" borderId="11" xfId="0" applyNumberFormat="1" applyFont="1" applyBorder="1"/>
    <xf numFmtId="166" fontId="4" fillId="0" borderId="3" xfId="0" applyNumberFormat="1" applyFont="1" applyBorder="1"/>
    <xf numFmtId="166" fontId="4" fillId="0" borderId="12" xfId="0" applyNumberFormat="1" applyFont="1" applyBorder="1"/>
    <xf numFmtId="0" fontId="4" fillId="0" borderId="14" xfId="0" applyFont="1" applyBorder="1"/>
    <xf numFmtId="0" fontId="3" fillId="0" borderId="13" xfId="0" applyFont="1" applyBorder="1"/>
    <xf numFmtId="0" fontId="4" fillId="0" borderId="15" xfId="0" applyFont="1" applyBorder="1"/>
    <xf numFmtId="0" fontId="3" fillId="0" borderId="16" xfId="0" applyFont="1" applyBorder="1"/>
    <xf numFmtId="166" fontId="4" fillId="0" borderId="17" xfId="0" applyNumberFormat="1" applyFont="1" applyBorder="1"/>
    <xf numFmtId="166" fontId="4" fillId="0" borderId="18" xfId="0" applyNumberFormat="1" applyFont="1" applyBorder="1"/>
    <xf numFmtId="166" fontId="4" fillId="0" borderId="19" xfId="0" applyNumberFormat="1" applyFont="1" applyBorder="1"/>
    <xf numFmtId="0" fontId="3" fillId="0" borderId="15" xfId="0" applyFont="1" applyBorder="1"/>
    <xf numFmtId="0" fontId="47" fillId="0" borderId="13" xfId="0" applyFont="1" applyBorder="1"/>
    <xf numFmtId="0" fontId="47" fillId="0" borderId="20" xfId="0" applyFont="1" applyBorder="1"/>
    <xf numFmtId="0" fontId="3" fillId="0" borderId="5" xfId="0" applyFont="1" applyBorder="1"/>
    <xf numFmtId="0" fontId="41" fillId="0" borderId="0" xfId="0" applyFont="1" applyAlignment="1">
      <alignment horizontal="center" vertical="center" textRotation="90"/>
    </xf>
    <xf numFmtId="3" fontId="4" fillId="0" borderId="11" xfId="0" applyNumberFormat="1" applyFont="1" applyBorder="1"/>
    <xf numFmtId="0" fontId="4" fillId="0" borderId="0" xfId="0" applyFont="1" applyAlignment="1">
      <alignment horizontal="right"/>
    </xf>
    <xf numFmtId="166" fontId="4" fillId="34" borderId="11" xfId="0" applyNumberFormat="1" applyFont="1" applyFill="1" applyBorder="1"/>
    <xf numFmtId="166" fontId="4" fillId="34" borderId="3" xfId="0" applyNumberFormat="1" applyFont="1" applyFill="1" applyBorder="1"/>
    <xf numFmtId="166" fontId="4" fillId="34" borderId="12" xfId="0" applyNumberFormat="1" applyFont="1" applyFill="1" applyBorder="1"/>
    <xf numFmtId="2" fontId="4" fillId="0" borderId="11" xfId="0" applyNumberFormat="1" applyFont="1" applyBorder="1"/>
    <xf numFmtId="2" fontId="4" fillId="0" borderId="3" xfId="0" applyNumberFormat="1" applyFont="1" applyBorder="1"/>
    <xf numFmtId="2" fontId="4" fillId="0" borderId="12" xfId="0" applyNumberFormat="1" applyFont="1" applyBorder="1"/>
    <xf numFmtId="176" fontId="4" fillId="0" borderId="11" xfId="56" applyNumberFormat="1" applyFont="1" applyBorder="1"/>
    <xf numFmtId="43" fontId="4" fillId="0" borderId="11" xfId="28" applyFont="1" applyBorder="1"/>
    <xf numFmtId="172" fontId="4" fillId="0" borderId="6" xfId="0" applyNumberFormat="1" applyFont="1" applyBorder="1"/>
    <xf numFmtId="166" fontId="4" fillId="34" borderId="17" xfId="0" applyNumberFormat="1" applyFont="1" applyFill="1" applyBorder="1"/>
    <xf numFmtId="166" fontId="4" fillId="34" borderId="18" xfId="0" applyNumberFormat="1" applyFont="1" applyFill="1" applyBorder="1"/>
    <xf numFmtId="166" fontId="4" fillId="34" borderId="19" xfId="0" applyNumberFormat="1" applyFont="1" applyFill="1" applyBorder="1"/>
    <xf numFmtId="1" fontId="3" fillId="34" borderId="11" xfId="0" applyNumberFormat="1" applyFont="1" applyFill="1" applyBorder="1" applyAlignment="1">
      <alignment horizontal="right"/>
    </xf>
    <xf numFmtId="1" fontId="3" fillId="34" borderId="3" xfId="0" applyNumberFormat="1" applyFont="1" applyFill="1" applyBorder="1" applyAlignment="1">
      <alignment horizontal="right"/>
    </xf>
    <xf numFmtId="1" fontId="3" fillId="34" borderId="12" xfId="0" applyNumberFormat="1" applyFont="1" applyFill="1" applyBorder="1" applyAlignment="1">
      <alignment horizontal="right"/>
    </xf>
    <xf numFmtId="2" fontId="4" fillId="0" borderId="17" xfId="0" applyNumberFormat="1" applyFont="1" applyBorder="1"/>
    <xf numFmtId="2" fontId="4" fillId="0" borderId="21" xfId="0" applyNumberFormat="1" applyFont="1" applyBorder="1"/>
    <xf numFmtId="170" fontId="4" fillId="0" borderId="11" xfId="0" applyNumberFormat="1" applyFont="1" applyBorder="1" applyAlignment="1">
      <alignment horizontal="right"/>
    </xf>
    <xf numFmtId="164" fontId="4" fillId="0" borderId="11" xfId="0" applyNumberFormat="1" applyFont="1" applyBorder="1" applyAlignment="1">
      <alignment horizontal="right"/>
    </xf>
    <xf numFmtId="2" fontId="4" fillId="0" borderId="6" xfId="0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7" fillId="0" borderId="0" xfId="0" applyFont="1" applyAlignment="1">
      <alignment horizontal="left"/>
    </xf>
    <xf numFmtId="0" fontId="47" fillId="0" borderId="22" xfId="0" applyFont="1" applyBorder="1" applyAlignment="1">
      <alignment horizontal="left"/>
    </xf>
    <xf numFmtId="0" fontId="47" fillId="0" borderId="23" xfId="0" applyFont="1" applyBorder="1" applyAlignment="1">
      <alignment horizontal="left"/>
    </xf>
    <xf numFmtId="0" fontId="4" fillId="0" borderId="23" xfId="0" applyFont="1" applyBorder="1"/>
    <xf numFmtId="0" fontId="47" fillId="0" borderId="24" xfId="0" applyFont="1" applyBorder="1" applyAlignment="1">
      <alignment horizontal="center"/>
    </xf>
    <xf numFmtId="0" fontId="47" fillId="0" borderId="25" xfId="0" applyFont="1" applyBorder="1" applyAlignment="1">
      <alignment horizontal="center"/>
    </xf>
    <xf numFmtId="0" fontId="47" fillId="0" borderId="4" xfId="0" applyFont="1" applyBorder="1" applyAlignment="1">
      <alignment horizontal="center"/>
    </xf>
    <xf numFmtId="3" fontId="47" fillId="0" borderId="13" xfId="0" applyNumberFormat="1" applyFont="1" applyBorder="1" applyAlignment="1">
      <alignment horizontal="center"/>
    </xf>
    <xf numFmtId="171" fontId="6" fillId="0" borderId="13" xfId="28" applyNumberFormat="1" applyFont="1" applyBorder="1" applyAlignment="1">
      <alignment horizontal="center"/>
    </xf>
    <xf numFmtId="2" fontId="47" fillId="0" borderId="13" xfId="0" applyNumberFormat="1" applyFont="1" applyBorder="1" applyAlignment="1">
      <alignment horizontal="center"/>
    </xf>
    <xf numFmtId="166" fontId="4" fillId="0" borderId="26" xfId="0" applyNumberFormat="1" applyFont="1" applyBorder="1"/>
    <xf numFmtId="166" fontId="4" fillId="0" borderId="27" xfId="0" applyNumberFormat="1" applyFont="1" applyBorder="1"/>
    <xf numFmtId="2" fontId="4" fillId="0" borderId="26" xfId="0" applyNumberFormat="1" applyFont="1" applyBorder="1"/>
    <xf numFmtId="2" fontId="4" fillId="0" borderId="27" xfId="0" applyNumberFormat="1" applyFont="1" applyBorder="1"/>
    <xf numFmtId="1" fontId="4" fillId="0" borderId="21" xfId="0" applyNumberFormat="1" applyFont="1" applyBorder="1"/>
    <xf numFmtId="2" fontId="4" fillId="34" borderId="6" xfId="0" applyNumberFormat="1" applyFont="1" applyFill="1" applyBorder="1" applyAlignment="1">
      <alignment horizontal="right"/>
    </xf>
    <xf numFmtId="2" fontId="4" fillId="34" borderId="7" xfId="0" applyNumberFormat="1" applyFont="1" applyFill="1" applyBorder="1" applyAlignment="1">
      <alignment horizontal="right"/>
    </xf>
    <xf numFmtId="2" fontId="4" fillId="34" borderId="9" xfId="0" applyNumberFormat="1" applyFont="1" applyFill="1" applyBorder="1" applyAlignment="1">
      <alignment horizontal="right"/>
    </xf>
    <xf numFmtId="2" fontId="4" fillId="34" borderId="11" xfId="0" applyNumberFormat="1" applyFont="1" applyFill="1" applyBorder="1" applyAlignment="1">
      <alignment horizontal="right"/>
    </xf>
    <xf numFmtId="2" fontId="4" fillId="34" borderId="3" xfId="0" applyNumberFormat="1" applyFont="1" applyFill="1" applyBorder="1" applyAlignment="1">
      <alignment horizontal="right"/>
    </xf>
    <xf numFmtId="2" fontId="4" fillId="34" borderId="12" xfId="0" applyNumberFormat="1" applyFont="1" applyFill="1" applyBorder="1" applyAlignment="1">
      <alignment horizontal="right"/>
    </xf>
    <xf numFmtId="0" fontId="0" fillId="0" borderId="11" xfId="0" applyBorder="1"/>
    <xf numFmtId="0" fontId="0" fillId="0" borderId="12" xfId="0" applyBorder="1"/>
    <xf numFmtId="3" fontId="4" fillId="0" borderId="3" xfId="0" applyNumberFormat="1" applyFont="1" applyBorder="1" applyAlignment="1">
      <alignment horizontal="right"/>
    </xf>
    <xf numFmtId="0" fontId="0" fillId="34" borderId="3" xfId="0" applyFill="1" applyBorder="1"/>
    <xf numFmtId="0" fontId="0" fillId="34" borderId="11" xfId="0" applyFill="1" applyBorder="1"/>
    <xf numFmtId="0" fontId="0" fillId="34" borderId="12" xfId="0" applyFill="1" applyBorder="1"/>
    <xf numFmtId="3" fontId="4" fillId="0" borderId="21" xfId="0" applyNumberFormat="1" applyFont="1" applyBorder="1"/>
    <xf numFmtId="3" fontId="4" fillId="0" borderId="26" xfId="0" applyNumberFormat="1" applyFont="1" applyBorder="1"/>
    <xf numFmtId="3" fontId="0" fillId="0" borderId="21" xfId="0" applyNumberFormat="1" applyBorder="1"/>
    <xf numFmtId="170" fontId="0" fillId="0" borderId="11" xfId="0" applyNumberFormat="1" applyBorder="1"/>
    <xf numFmtId="170" fontId="0" fillId="0" borderId="3" xfId="0" applyNumberFormat="1" applyBorder="1"/>
    <xf numFmtId="170" fontId="0" fillId="0" borderId="12" xfId="0" applyNumberFormat="1" applyBorder="1"/>
    <xf numFmtId="170" fontId="0" fillId="0" borderId="6" xfId="0" applyNumberFormat="1" applyBorder="1"/>
    <xf numFmtId="0" fontId="0" fillId="34" borderId="7" xfId="0" applyFill="1" applyBorder="1"/>
    <xf numFmtId="0" fontId="0" fillId="34" borderId="6" xfId="0" applyFill="1" applyBorder="1"/>
    <xf numFmtId="0" fontId="0" fillId="34" borderId="9" xfId="0" applyFill="1" applyBorder="1"/>
    <xf numFmtId="170" fontId="4" fillId="35" borderId="11" xfId="0" applyNumberFormat="1" applyFont="1" applyFill="1" applyBorder="1"/>
    <xf numFmtId="170" fontId="4" fillId="35" borderId="3" xfId="0" applyNumberFormat="1" applyFont="1" applyFill="1" applyBorder="1"/>
    <xf numFmtId="170" fontId="4" fillId="35" borderId="12" xfId="0" applyNumberFormat="1" applyFont="1" applyFill="1" applyBorder="1"/>
    <xf numFmtId="164" fontId="4" fillId="0" borderId="3" xfId="0" applyNumberFormat="1" applyFont="1" applyBorder="1" applyAlignment="1">
      <alignment horizontal="right"/>
    </xf>
    <xf numFmtId="164" fontId="4" fillId="0" borderId="12" xfId="0" applyNumberFormat="1" applyFont="1" applyBorder="1" applyAlignment="1">
      <alignment horizontal="right"/>
    </xf>
    <xf numFmtId="2" fontId="4" fillId="0" borderId="7" xfId="0" applyNumberFormat="1" applyFont="1" applyBorder="1" applyAlignment="1">
      <alignment horizontal="right"/>
    </xf>
    <xf numFmtId="2" fontId="4" fillId="0" borderId="9" xfId="0" applyNumberFormat="1" applyFont="1" applyBorder="1" applyAlignment="1">
      <alignment horizontal="right"/>
    </xf>
    <xf numFmtId="167" fontId="6" fillId="0" borderId="10" xfId="0" applyNumberFormat="1" applyFont="1" applyBorder="1"/>
    <xf numFmtId="167" fontId="6" fillId="0" borderId="28" xfId="0" applyNumberFormat="1" applyFont="1" applyBorder="1"/>
    <xf numFmtId="167" fontId="6" fillId="0" borderId="29" xfId="0" applyNumberFormat="1" applyFont="1" applyBorder="1"/>
    <xf numFmtId="3" fontId="0" fillId="0" borderId="26" xfId="0" applyNumberFormat="1" applyBorder="1"/>
    <xf numFmtId="3" fontId="0" fillId="0" borderId="27" xfId="0" applyNumberFormat="1" applyBorder="1"/>
    <xf numFmtId="170" fontId="0" fillId="0" borderId="7" xfId="0" applyNumberFormat="1" applyBorder="1"/>
    <xf numFmtId="170" fontId="0" fillId="0" borderId="9" xfId="0" applyNumberFormat="1" applyBorder="1"/>
    <xf numFmtId="166" fontId="6" fillId="34" borderId="10" xfId="0" applyNumberFormat="1" applyFont="1" applyFill="1" applyBorder="1"/>
    <xf numFmtId="166" fontId="6" fillId="34" borderId="28" xfId="0" applyNumberFormat="1" applyFont="1" applyFill="1" applyBorder="1"/>
    <xf numFmtId="166" fontId="6" fillId="34" borderId="29" xfId="0" applyNumberFormat="1" applyFont="1" applyFill="1" applyBorder="1"/>
    <xf numFmtId="3" fontId="4" fillId="0" borderId="27" xfId="0" applyNumberFormat="1" applyFont="1" applyBorder="1"/>
    <xf numFmtId="166" fontId="4" fillId="34" borderId="10" xfId="0" quotePrefix="1" applyNumberFormat="1" applyFont="1" applyFill="1" applyBorder="1" applyAlignment="1">
      <alignment horizontal="center"/>
    </xf>
    <xf numFmtId="3" fontId="4" fillId="0" borderId="12" xfId="0" applyNumberFormat="1" applyFont="1" applyBorder="1" applyAlignment="1">
      <alignment horizontal="right"/>
    </xf>
    <xf numFmtId="166" fontId="6" fillId="0" borderId="10" xfId="0" applyNumberFormat="1" applyFont="1" applyBorder="1"/>
    <xf numFmtId="166" fontId="6" fillId="0" borderId="28" xfId="0" applyNumberFormat="1" applyFont="1" applyBorder="1"/>
    <xf numFmtId="166" fontId="6" fillId="0" borderId="29" xfId="0" applyNumberFormat="1" applyFont="1" applyBorder="1"/>
    <xf numFmtId="166" fontId="4" fillId="34" borderId="6" xfId="0" applyNumberFormat="1" applyFont="1" applyFill="1" applyBorder="1"/>
    <xf numFmtId="166" fontId="4" fillId="34" borderId="7" xfId="0" applyNumberFormat="1" applyFont="1" applyFill="1" applyBorder="1"/>
    <xf numFmtId="166" fontId="4" fillId="34" borderId="9" xfId="0" applyNumberFormat="1" applyFont="1" applyFill="1" applyBorder="1"/>
    <xf numFmtId="170" fontId="0" fillId="0" borderId="21" xfId="0" applyNumberFormat="1" applyBorder="1"/>
    <xf numFmtId="170" fontId="0" fillId="0" borderId="26" xfId="0" applyNumberFormat="1" applyBorder="1"/>
    <xf numFmtId="170" fontId="0" fillId="0" borderId="27" xfId="0" applyNumberFormat="1" applyBorder="1"/>
    <xf numFmtId="43" fontId="0" fillId="0" borderId="21" xfId="0" applyNumberFormat="1" applyBorder="1"/>
    <xf numFmtId="43" fontId="0" fillId="0" borderId="26" xfId="0" applyNumberFormat="1" applyBorder="1"/>
    <xf numFmtId="43" fontId="0" fillId="0" borderId="27" xfId="0" applyNumberFormat="1" applyBorder="1"/>
    <xf numFmtId="170" fontId="0" fillId="0" borderId="30" xfId="0" applyNumberFormat="1" applyBorder="1"/>
    <xf numFmtId="170" fontId="0" fillId="0" borderId="31" xfId="0" applyNumberFormat="1" applyBorder="1"/>
    <xf numFmtId="170" fontId="0" fillId="0" borderId="32" xfId="0" applyNumberFormat="1" applyBorder="1"/>
    <xf numFmtId="1" fontId="0" fillId="0" borderId="0" xfId="0" applyNumberFormat="1"/>
    <xf numFmtId="167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35" borderId="0" xfId="0" applyFill="1" applyAlignment="1">
      <alignment horizontal="center"/>
    </xf>
    <xf numFmtId="0" fontId="4" fillId="0" borderId="33" xfId="0" applyFont="1" applyBorder="1"/>
    <xf numFmtId="171" fontId="47" fillId="0" borderId="34" xfId="28" applyNumberFormat="1" applyFont="1" applyBorder="1" applyAlignment="1">
      <alignment horizontal="center"/>
    </xf>
    <xf numFmtId="169" fontId="47" fillId="0" borderId="14" xfId="0" applyNumberFormat="1" applyFont="1" applyBorder="1" applyAlignment="1">
      <alignment horizontal="center"/>
    </xf>
    <xf numFmtId="0" fontId="47" fillId="36" borderId="22" xfId="0" applyFont="1" applyFill="1" applyBorder="1" applyAlignment="1">
      <alignment horizontal="left"/>
    </xf>
    <xf numFmtId="0" fontId="47" fillId="36" borderId="15" xfId="0" applyFont="1" applyFill="1" applyBorder="1" applyAlignment="1">
      <alignment horizontal="center"/>
    </xf>
    <xf numFmtId="0" fontId="47" fillId="36" borderId="35" xfId="0" applyFont="1" applyFill="1" applyBorder="1" applyAlignment="1">
      <alignment horizontal="left"/>
    </xf>
    <xf numFmtId="0" fontId="3" fillId="36" borderId="13" xfId="0" applyFont="1" applyFill="1" applyBorder="1"/>
    <xf numFmtId="170" fontId="4" fillId="36" borderId="11" xfId="0" applyNumberFormat="1" applyFont="1" applyFill="1" applyBorder="1" applyAlignment="1">
      <alignment horizontal="right"/>
    </xf>
    <xf numFmtId="170" fontId="4" fillId="36" borderId="3" xfId="0" applyNumberFormat="1" applyFont="1" applyFill="1" applyBorder="1" applyAlignment="1">
      <alignment horizontal="right"/>
    </xf>
    <xf numFmtId="170" fontId="4" fillId="36" borderId="12" xfId="0" applyNumberFormat="1" applyFont="1" applyFill="1" applyBorder="1" applyAlignment="1">
      <alignment horizontal="right"/>
    </xf>
    <xf numFmtId="164" fontId="4" fillId="36" borderId="11" xfId="0" applyNumberFormat="1" applyFont="1" applyFill="1" applyBorder="1" applyAlignment="1">
      <alignment horizontal="right"/>
    </xf>
    <xf numFmtId="164" fontId="4" fillId="36" borderId="3" xfId="0" applyNumberFormat="1" applyFont="1" applyFill="1" applyBorder="1" applyAlignment="1">
      <alignment horizontal="right"/>
    </xf>
    <xf numFmtId="164" fontId="4" fillId="36" borderId="12" xfId="0" applyNumberFormat="1" applyFont="1" applyFill="1" applyBorder="1" applyAlignment="1">
      <alignment horizontal="right"/>
    </xf>
    <xf numFmtId="170" fontId="0" fillId="36" borderId="11" xfId="0" applyNumberFormat="1" applyFill="1" applyBorder="1"/>
    <xf numFmtId="170" fontId="0" fillId="36" borderId="3" xfId="0" applyNumberFormat="1" applyFill="1" applyBorder="1"/>
    <xf numFmtId="170" fontId="0" fillId="36" borderId="12" xfId="0" applyNumberFormat="1" applyFill="1" applyBorder="1"/>
    <xf numFmtId="0" fontId="0" fillId="36" borderId="0" xfId="0" applyFill="1"/>
    <xf numFmtId="0" fontId="0" fillId="35" borderId="0" xfId="0" applyFill="1"/>
    <xf numFmtId="0" fontId="48" fillId="0" borderId="0" xfId="0" applyFont="1" applyAlignment="1">
      <alignment horizontal="center" textRotation="90"/>
    </xf>
    <xf numFmtId="0" fontId="41" fillId="36" borderId="0" xfId="0" applyFont="1" applyFill="1" applyAlignment="1">
      <alignment horizontal="center"/>
    </xf>
    <xf numFmtId="0" fontId="41" fillId="36" borderId="2" xfId="0" applyFont="1" applyFill="1" applyBorder="1" applyAlignment="1">
      <alignment horizontal="center"/>
    </xf>
    <xf numFmtId="171" fontId="25" fillId="36" borderId="0" xfId="28" applyNumberFormat="1" applyFill="1"/>
    <xf numFmtId="2" fontId="0" fillId="36" borderId="0" xfId="0" applyNumberFormat="1" applyFill="1" applyAlignment="1">
      <alignment horizontal="center"/>
    </xf>
    <xf numFmtId="3" fontId="0" fillId="36" borderId="0" xfId="0" applyNumberFormat="1" applyFill="1"/>
    <xf numFmtId="164" fontId="0" fillId="36" borderId="0" xfId="0" applyNumberFormat="1" applyFill="1"/>
    <xf numFmtId="171" fontId="47" fillId="0" borderId="13" xfId="28" applyNumberFormat="1" applyFont="1" applyBorder="1" applyAlignment="1">
      <alignment horizontal="center"/>
    </xf>
    <xf numFmtId="0" fontId="44" fillId="0" borderId="36" xfId="0" applyFont="1" applyBorder="1" applyAlignment="1">
      <alignment horizontal="left"/>
    </xf>
    <xf numFmtId="3" fontId="44" fillId="0" borderId="16" xfId="0" applyNumberFormat="1" applyFont="1" applyBorder="1" applyAlignment="1">
      <alignment horizontal="center"/>
    </xf>
    <xf numFmtId="0" fontId="3" fillId="35" borderId="13" xfId="0" applyFont="1" applyFill="1" applyBorder="1"/>
    <xf numFmtId="2" fontId="4" fillId="35" borderId="11" xfId="0" applyNumberFormat="1" applyFont="1" applyFill="1" applyBorder="1"/>
    <xf numFmtId="2" fontId="4" fillId="35" borderId="3" xfId="0" applyNumberFormat="1" applyFont="1" applyFill="1" applyBorder="1"/>
    <xf numFmtId="2" fontId="4" fillId="35" borderId="12" xfId="0" applyNumberFormat="1" applyFont="1" applyFill="1" applyBorder="1"/>
    <xf numFmtId="166" fontId="4" fillId="35" borderId="11" xfId="0" applyNumberFormat="1" applyFont="1" applyFill="1" applyBorder="1"/>
    <xf numFmtId="166" fontId="4" fillId="35" borderId="3" xfId="0" applyNumberFormat="1" applyFont="1" applyFill="1" applyBorder="1"/>
    <xf numFmtId="166" fontId="4" fillId="35" borderId="12" xfId="0" applyNumberFormat="1" applyFont="1" applyFill="1" applyBorder="1"/>
    <xf numFmtId="0" fontId="3" fillId="35" borderId="15" xfId="0" applyFont="1" applyFill="1" applyBorder="1"/>
    <xf numFmtId="164" fontId="4" fillId="35" borderId="11" xfId="0" applyNumberFormat="1" applyFont="1" applyFill="1" applyBorder="1" applyAlignment="1">
      <alignment horizontal="right"/>
    </xf>
    <xf numFmtId="164" fontId="4" fillId="35" borderId="3" xfId="0" applyNumberFormat="1" applyFont="1" applyFill="1" applyBorder="1" applyAlignment="1">
      <alignment horizontal="right"/>
    </xf>
    <xf numFmtId="164" fontId="4" fillId="35" borderId="12" xfId="0" applyNumberFormat="1" applyFont="1" applyFill="1" applyBorder="1" applyAlignment="1">
      <alignment horizontal="right"/>
    </xf>
    <xf numFmtId="0" fontId="44" fillId="36" borderId="37" xfId="0" applyFont="1" applyFill="1" applyBorder="1" applyAlignment="1">
      <alignment horizontal="left"/>
    </xf>
    <xf numFmtId="3" fontId="47" fillId="36" borderId="15" xfId="0" applyNumberFormat="1" applyFont="1" applyFill="1" applyBorder="1" applyAlignment="1">
      <alignment horizontal="center"/>
    </xf>
    <xf numFmtId="3" fontId="0" fillId="0" borderId="38" xfId="0" applyNumberFormat="1" applyBorder="1"/>
    <xf numFmtId="4" fontId="44" fillId="36" borderId="13" xfId="0" applyNumberFormat="1" applyFont="1" applyFill="1" applyBorder="1" applyAlignment="1">
      <alignment horizontal="center"/>
    </xf>
    <xf numFmtId="2" fontId="4" fillId="0" borderId="18" xfId="0" applyNumberFormat="1" applyFont="1" applyBorder="1"/>
    <xf numFmtId="2" fontId="4" fillId="0" borderId="19" xfId="0" applyNumberFormat="1" applyFont="1" applyBorder="1"/>
    <xf numFmtId="170" fontId="4" fillId="0" borderId="3" xfId="0" applyNumberFormat="1" applyFont="1" applyBorder="1" applyAlignment="1">
      <alignment horizontal="right"/>
    </xf>
    <xf numFmtId="170" fontId="4" fillId="0" borderId="12" xfId="0" applyNumberFormat="1" applyFont="1" applyBorder="1" applyAlignment="1">
      <alignment horizontal="right"/>
    </xf>
    <xf numFmtId="0" fontId="3" fillId="0" borderId="34" xfId="0" applyFont="1" applyBorder="1"/>
    <xf numFmtId="0" fontId="4" fillId="0" borderId="34" xfId="0" applyFont="1" applyBorder="1"/>
    <xf numFmtId="173" fontId="4" fillId="0" borderId="10" xfId="0" applyNumberFormat="1" applyFont="1" applyBorder="1"/>
    <xf numFmtId="173" fontId="4" fillId="0" borderId="28" xfId="0" applyNumberFormat="1" applyFont="1" applyBorder="1"/>
    <xf numFmtId="173" fontId="4" fillId="0" borderId="29" xfId="0" applyNumberFormat="1" applyFont="1" applyBorder="1"/>
    <xf numFmtId="172" fontId="4" fillId="0" borderId="11" xfId="0" applyNumberFormat="1" applyFont="1" applyBorder="1"/>
    <xf numFmtId="172" fontId="4" fillId="0" borderId="3" xfId="0" applyNumberFormat="1" applyFont="1" applyBorder="1"/>
    <xf numFmtId="172" fontId="4" fillId="0" borderId="12" xfId="0" applyNumberFormat="1" applyFont="1" applyBorder="1"/>
    <xf numFmtId="3" fontId="6" fillId="0" borderId="28" xfId="0" applyNumberFormat="1" applyFont="1" applyBorder="1"/>
    <xf numFmtId="3" fontId="6" fillId="0" borderId="29" xfId="0" applyNumberFormat="1" applyFont="1" applyBorder="1"/>
    <xf numFmtId="3" fontId="4" fillId="0" borderId="3" xfId="0" applyNumberFormat="1" applyFont="1" applyBorder="1"/>
    <xf numFmtId="3" fontId="4" fillId="0" borderId="12" xfId="0" applyNumberFormat="1" applyFont="1" applyBorder="1"/>
    <xf numFmtId="176" fontId="4" fillId="0" borderId="3" xfId="56" applyNumberFormat="1" applyFont="1" applyBorder="1"/>
    <xf numFmtId="176" fontId="4" fillId="0" borderId="12" xfId="56" applyNumberFormat="1" applyFont="1" applyBorder="1"/>
    <xf numFmtId="43" fontId="4" fillId="0" borderId="3" xfId="28" applyFont="1" applyBorder="1"/>
    <xf numFmtId="43" fontId="4" fillId="0" borderId="12" xfId="28" applyFont="1" applyBorder="1"/>
    <xf numFmtId="172" fontId="4" fillId="0" borderId="7" xfId="0" applyNumberFormat="1" applyFont="1" applyBorder="1"/>
    <xf numFmtId="172" fontId="4" fillId="0" borderId="9" xfId="0" applyNumberFormat="1" applyFont="1" applyBorder="1"/>
    <xf numFmtId="1" fontId="4" fillId="36" borderId="3" xfId="0" applyNumberFormat="1" applyFont="1" applyFill="1" applyBorder="1" applyAlignment="1">
      <alignment horizontal="right"/>
    </xf>
    <xf numFmtId="1" fontId="4" fillId="36" borderId="12" xfId="0" applyNumberFormat="1" applyFont="1" applyFill="1" applyBorder="1" applyAlignment="1">
      <alignment horizontal="right"/>
    </xf>
    <xf numFmtId="3" fontId="0" fillId="34" borderId="11" xfId="0" applyNumberFormat="1" applyFill="1" applyBorder="1"/>
    <xf numFmtId="3" fontId="0" fillId="34" borderId="3" xfId="0" applyNumberFormat="1" applyFill="1" applyBorder="1"/>
    <xf numFmtId="3" fontId="0" fillId="34" borderId="12" xfId="0" applyNumberFormat="1" applyFill="1" applyBorder="1"/>
    <xf numFmtId="2" fontId="4" fillId="35" borderId="11" xfId="0" applyNumberFormat="1" applyFont="1" applyFill="1" applyBorder="1" applyAlignment="1">
      <alignment horizontal="right"/>
    </xf>
    <xf numFmtId="173" fontId="4" fillId="0" borderId="21" xfId="0" applyNumberFormat="1" applyFont="1" applyBorder="1"/>
    <xf numFmtId="166" fontId="6" fillId="35" borderId="11" xfId="0" applyNumberFormat="1" applyFont="1" applyFill="1" applyBorder="1"/>
    <xf numFmtId="166" fontId="6" fillId="35" borderId="3" xfId="0" applyNumberFormat="1" applyFont="1" applyFill="1" applyBorder="1"/>
    <xf numFmtId="166" fontId="6" fillId="35" borderId="12" xfId="0" applyNumberFormat="1" applyFont="1" applyFill="1" applyBorder="1"/>
    <xf numFmtId="177" fontId="0" fillId="0" borderId="0" xfId="0" applyNumberFormat="1"/>
    <xf numFmtId="0" fontId="49" fillId="0" borderId="3" xfId="0" applyFont="1" applyBorder="1"/>
    <xf numFmtId="0" fontId="49" fillId="0" borderId="3" xfId="0" applyFont="1" applyBorder="1" applyAlignment="1">
      <alignment horizontal="center"/>
    </xf>
    <xf numFmtId="0" fontId="47" fillId="0" borderId="0" xfId="0" applyFont="1" applyAlignment="1">
      <alignment horizontal="right"/>
    </xf>
    <xf numFmtId="43" fontId="0" fillId="0" borderId="0" xfId="0" applyNumberFormat="1"/>
    <xf numFmtId="0" fontId="47" fillId="0" borderId="3" xfId="0" applyFont="1" applyBorder="1" applyAlignment="1">
      <alignment horizontal="center"/>
    </xf>
    <xf numFmtId="170" fontId="47" fillId="0" borderId="3" xfId="0" applyNumberFormat="1" applyFont="1" applyBorder="1" applyAlignment="1">
      <alignment horizontal="center"/>
    </xf>
    <xf numFmtId="173" fontId="4" fillId="0" borderId="26" xfId="0" applyNumberFormat="1" applyFont="1" applyBorder="1"/>
    <xf numFmtId="173" fontId="4" fillId="0" borderId="27" xfId="0" applyNumberFormat="1" applyFont="1" applyBorder="1"/>
    <xf numFmtId="0" fontId="3" fillId="36" borderId="16" xfId="0" applyFont="1" applyFill="1" applyBorder="1"/>
    <xf numFmtId="170" fontId="0" fillId="36" borderId="6" xfId="0" applyNumberFormat="1" applyFill="1" applyBorder="1"/>
    <xf numFmtId="170" fontId="0" fillId="36" borderId="7" xfId="0" applyNumberFormat="1" applyFill="1" applyBorder="1"/>
    <xf numFmtId="170" fontId="0" fillId="36" borderId="9" xfId="0" applyNumberFormat="1" applyFill="1" applyBorder="1"/>
    <xf numFmtId="2" fontId="4" fillId="35" borderId="3" xfId="0" applyNumberFormat="1" applyFont="1" applyFill="1" applyBorder="1" applyAlignment="1">
      <alignment horizontal="right"/>
    </xf>
    <xf numFmtId="2" fontId="4" fillId="35" borderId="12" xfId="0" applyNumberFormat="1" applyFont="1" applyFill="1" applyBorder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171" fontId="9" fillId="0" borderId="0" xfId="28" applyNumberFormat="1" applyFont="1"/>
    <xf numFmtId="171" fontId="25" fillId="0" borderId="0" xfId="28" applyNumberFormat="1"/>
    <xf numFmtId="169" fontId="0" fillId="0" borderId="0" xfId="0" applyNumberFormat="1"/>
    <xf numFmtId="0" fontId="0" fillId="0" borderId="39" xfId="0" applyBorder="1"/>
    <xf numFmtId="3" fontId="0" fillId="0" borderId="3" xfId="0" applyNumberFormat="1" applyBorder="1"/>
    <xf numFmtId="2" fontId="0" fillId="0" borderId="3" xfId="0" applyNumberFormat="1" applyBorder="1"/>
    <xf numFmtId="166" fontId="0" fillId="0" borderId="3" xfId="0" applyNumberFormat="1" applyBorder="1"/>
    <xf numFmtId="0" fontId="12" fillId="0" borderId="40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4" fillId="0" borderId="0" xfId="0" applyFont="1"/>
    <xf numFmtId="164" fontId="14" fillId="0" borderId="0" xfId="0" applyNumberFormat="1" applyFont="1"/>
    <xf numFmtId="0" fontId="14" fillId="0" borderId="41" xfId="0" applyFont="1" applyBorder="1"/>
    <xf numFmtId="167" fontId="14" fillId="0" borderId="0" xfId="0" applyNumberFormat="1" applyFont="1"/>
    <xf numFmtId="170" fontId="12" fillId="0" borderId="44" xfId="0" applyNumberFormat="1" applyFont="1" applyBorder="1"/>
    <xf numFmtId="0" fontId="12" fillId="0" borderId="0" xfId="0" applyFont="1"/>
    <xf numFmtId="4" fontId="12" fillId="0" borderId="0" xfId="0" applyNumberFormat="1" applyFont="1"/>
    <xf numFmtId="0" fontId="50" fillId="0" borderId="0" xfId="0" applyFont="1"/>
    <xf numFmtId="0" fontId="51" fillId="0" borderId="24" xfId="0" applyFont="1" applyBorder="1" applyAlignment="1">
      <alignment horizontal="right"/>
    </xf>
    <xf numFmtId="0" fontId="51" fillId="0" borderId="45" xfId="0" applyFont="1" applyBorder="1" applyAlignment="1">
      <alignment horizontal="right"/>
    </xf>
    <xf numFmtId="0" fontId="50" fillId="0" borderId="40" xfId="0" applyFont="1" applyBorder="1" applyAlignment="1">
      <alignment horizontal="left"/>
    </xf>
    <xf numFmtId="0" fontId="50" fillId="0" borderId="43" xfId="0" applyFont="1" applyBorder="1"/>
    <xf numFmtId="0" fontId="50" fillId="0" borderId="41" xfId="0" applyFont="1" applyBorder="1"/>
    <xf numFmtId="164" fontId="50" fillId="0" borderId="0" xfId="0" applyNumberFormat="1" applyFont="1"/>
    <xf numFmtId="164" fontId="50" fillId="0" borderId="41" xfId="0" applyNumberFormat="1" applyFont="1" applyBorder="1"/>
    <xf numFmtId="167" fontId="50" fillId="0" borderId="0" xfId="0" applyNumberFormat="1" applyFont="1"/>
    <xf numFmtId="0" fontId="52" fillId="0" borderId="47" xfId="0" applyFont="1" applyBorder="1"/>
    <xf numFmtId="0" fontId="52" fillId="0" borderId="48" xfId="0" applyFont="1" applyBorder="1" applyAlignment="1">
      <alignment horizontal="right"/>
    </xf>
    <xf numFmtId="170" fontId="52" fillId="0" borderId="44" xfId="0" applyNumberFormat="1" applyFont="1" applyBorder="1"/>
    <xf numFmtId="170" fontId="52" fillId="0" borderId="48" xfId="0" applyNumberFormat="1" applyFont="1" applyBorder="1"/>
    <xf numFmtId="0" fontId="52" fillId="0" borderId="0" xfId="0" applyFont="1"/>
    <xf numFmtId="2" fontId="50" fillId="0" borderId="0" xfId="0" applyNumberFormat="1" applyFont="1"/>
    <xf numFmtId="0" fontId="44" fillId="0" borderId="0" xfId="0" applyFont="1" applyAlignment="1">
      <alignment vertical="center"/>
    </xf>
    <xf numFmtId="0" fontId="55" fillId="0" borderId="0" xfId="0" applyFont="1"/>
    <xf numFmtId="0" fontId="57" fillId="0" borderId="0" xfId="0" applyFont="1"/>
    <xf numFmtId="0" fontId="12" fillId="0" borderId="0" xfId="0" quotePrefix="1" applyFont="1"/>
    <xf numFmtId="3" fontId="58" fillId="0" borderId="54" xfId="0" applyNumberFormat="1" applyFont="1" applyBorder="1" applyAlignment="1">
      <alignment horizontal="right" wrapText="1"/>
    </xf>
    <xf numFmtId="0" fontId="41" fillId="37" borderId="47" xfId="0" applyFont="1" applyFill="1" applyBorder="1"/>
    <xf numFmtId="0" fontId="41" fillId="37" borderId="44" xfId="0" applyFont="1" applyFill="1" applyBorder="1"/>
    <xf numFmtId="0" fontId="41" fillId="37" borderId="48" xfId="0" applyFont="1" applyFill="1" applyBorder="1"/>
    <xf numFmtId="0" fontId="0" fillId="0" borderId="10" xfId="0" applyBorder="1"/>
    <xf numFmtId="0" fontId="0" fillId="0" borderId="28" xfId="0" applyBorder="1"/>
    <xf numFmtId="0" fontId="3" fillId="0" borderId="2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69" fontId="0" fillId="0" borderId="3" xfId="0" applyNumberFormat="1" applyBorder="1"/>
    <xf numFmtId="164" fontId="0" fillId="0" borderId="3" xfId="0" applyNumberFormat="1" applyBorder="1"/>
    <xf numFmtId="164" fontId="0" fillId="0" borderId="12" xfId="0" applyNumberFormat="1" applyBorder="1"/>
    <xf numFmtId="0" fontId="3" fillId="0" borderId="6" xfId="0" applyFont="1" applyBorder="1"/>
    <xf numFmtId="0" fontId="0" fillId="0" borderId="7" xfId="0" applyBorder="1"/>
    <xf numFmtId="3" fontId="0" fillId="0" borderId="7" xfId="0" applyNumberFormat="1" applyBorder="1"/>
    <xf numFmtId="0" fontId="3" fillId="0" borderId="3" xfId="0" applyFont="1" applyBorder="1" applyAlignment="1">
      <alignment horizontal="center" wrapText="1"/>
    </xf>
    <xf numFmtId="0" fontId="0" fillId="0" borderId="55" xfId="0" applyBorder="1"/>
    <xf numFmtId="3" fontId="0" fillId="0" borderId="39" xfId="0" applyNumberFormat="1" applyBorder="1"/>
    <xf numFmtId="169" fontId="0" fillId="0" borderId="39" xfId="0" applyNumberFormat="1" applyBorder="1"/>
    <xf numFmtId="2" fontId="0" fillId="0" borderId="39" xfId="0" applyNumberFormat="1" applyBorder="1"/>
    <xf numFmtId="164" fontId="0" fillId="0" borderId="39" xfId="0" applyNumberFormat="1" applyBorder="1"/>
    <xf numFmtId="166" fontId="0" fillId="0" borderId="39" xfId="0" applyNumberFormat="1" applyBorder="1"/>
    <xf numFmtId="0" fontId="0" fillId="0" borderId="56" xfId="0" applyBorder="1"/>
    <xf numFmtId="0" fontId="41" fillId="0" borderId="51" xfId="0" applyFont="1" applyBorder="1"/>
    <xf numFmtId="0" fontId="41" fillId="0" borderId="52" xfId="0" applyFont="1" applyBorder="1"/>
    <xf numFmtId="3" fontId="41" fillId="0" borderId="52" xfId="0" applyNumberFormat="1" applyFont="1" applyBorder="1"/>
    <xf numFmtId="0" fontId="3" fillId="0" borderId="57" xfId="0" applyFont="1" applyBorder="1"/>
    <xf numFmtId="0" fontId="3" fillId="0" borderId="57" xfId="0" applyFont="1" applyBorder="1" applyAlignment="1">
      <alignment horizontal="center" wrapText="1"/>
    </xf>
    <xf numFmtId="164" fontId="0" fillId="0" borderId="56" xfId="0" applyNumberFormat="1" applyBorder="1"/>
    <xf numFmtId="0" fontId="58" fillId="0" borderId="31" xfId="0" applyFont="1" applyBorder="1" applyAlignment="1">
      <alignment horizontal="center" wrapText="1"/>
    </xf>
    <xf numFmtId="0" fontId="58" fillId="0" borderId="58" xfId="0" applyFont="1" applyBorder="1" applyAlignment="1">
      <alignment horizontal="center" wrapText="1"/>
    </xf>
    <xf numFmtId="0" fontId="58" fillId="0" borderId="59" xfId="0" applyFont="1" applyBorder="1" applyAlignment="1">
      <alignment horizontal="center" wrapText="1"/>
    </xf>
    <xf numFmtId="0" fontId="58" fillId="0" borderId="60" xfId="0" applyFont="1" applyBorder="1" applyAlignment="1">
      <alignment horizontal="center" wrapText="1"/>
    </xf>
    <xf numFmtId="0" fontId="58" fillId="0" borderId="54" xfId="0" applyFont="1" applyBorder="1" applyAlignment="1">
      <alignment horizontal="left"/>
    </xf>
    <xf numFmtId="0" fontId="58" fillId="0" borderId="49" xfId="0" applyFont="1" applyBorder="1" applyAlignment="1">
      <alignment horizontal="right" wrapText="1"/>
    </xf>
    <xf numFmtId="0" fontId="58" fillId="0" borderId="0" xfId="0" applyFont="1" applyAlignment="1">
      <alignment horizontal="left" wrapText="1"/>
    </xf>
    <xf numFmtId="170" fontId="58" fillId="0" borderId="57" xfId="0" applyNumberFormat="1" applyFont="1" applyBorder="1" applyAlignment="1">
      <alignment horizontal="right" wrapText="1"/>
    </xf>
    <xf numFmtId="170" fontId="58" fillId="0" borderId="61" xfId="0" applyNumberFormat="1" applyFont="1" applyBorder="1" applyAlignment="1">
      <alignment horizontal="right" wrapText="1"/>
    </xf>
    <xf numFmtId="0" fontId="58" fillId="0" borderId="24" xfId="0" applyFont="1" applyBorder="1"/>
    <xf numFmtId="0" fontId="58" fillId="0" borderId="62" xfId="0" applyFont="1" applyBorder="1" applyAlignment="1">
      <alignment horizontal="left" wrapText="1"/>
    </xf>
    <xf numFmtId="170" fontId="58" fillId="0" borderId="0" xfId="0" applyNumberFormat="1" applyFont="1" applyAlignment="1">
      <alignment horizontal="right" wrapText="1"/>
    </xf>
    <xf numFmtId="164" fontId="58" fillId="0" borderId="63" xfId="0" applyNumberFormat="1" applyFont="1" applyBorder="1" applyAlignment="1">
      <alignment horizontal="right" wrapText="1"/>
    </xf>
    <xf numFmtId="166" fontId="58" fillId="0" borderId="64" xfId="0" applyNumberFormat="1" applyFont="1" applyBorder="1" applyAlignment="1">
      <alignment horizontal="right" wrapText="1"/>
    </xf>
    <xf numFmtId="166" fontId="58" fillId="0" borderId="63" xfId="0" applyNumberFormat="1" applyFont="1" applyBorder="1"/>
    <xf numFmtId="2" fontId="58" fillId="0" borderId="49" xfId="0" applyNumberFormat="1" applyFont="1" applyBorder="1" applyAlignment="1">
      <alignment horizontal="right" wrapText="1"/>
    </xf>
    <xf numFmtId="170" fontId="58" fillId="0" borderId="54" xfId="0" applyNumberFormat="1" applyFont="1" applyBorder="1" applyAlignment="1">
      <alignment horizontal="right" wrapText="1"/>
    </xf>
    <xf numFmtId="172" fontId="58" fillId="0" borderId="49" xfId="28" applyNumberFormat="1" applyFont="1" applyBorder="1" applyAlignment="1">
      <alignment horizontal="right" wrapText="1"/>
    </xf>
    <xf numFmtId="0" fontId="58" fillId="0" borderId="65" xfId="0" applyFont="1" applyBorder="1" applyAlignment="1">
      <alignment horizontal="left" wrapText="1"/>
    </xf>
    <xf numFmtId="166" fontId="58" fillId="0" borderId="66" xfId="0" applyNumberFormat="1" applyFont="1" applyBorder="1" applyAlignment="1">
      <alignment horizontal="right" wrapText="1"/>
    </xf>
    <xf numFmtId="164" fontId="58" fillId="0" borderId="49" xfId="0" applyNumberFormat="1" applyFont="1" applyBorder="1" applyAlignment="1">
      <alignment horizontal="right" wrapText="1"/>
    </xf>
    <xf numFmtId="0" fontId="58" fillId="0" borderId="54" xfId="0" applyFont="1" applyBorder="1" applyAlignment="1">
      <alignment horizontal="center" wrapText="1"/>
    </xf>
    <xf numFmtId="171" fontId="58" fillId="0" borderId="54" xfId="28" applyNumberFormat="1" applyFont="1" applyBorder="1" applyAlignment="1">
      <alignment horizontal="center" wrapText="1"/>
    </xf>
    <xf numFmtId="0" fontId="58" fillId="0" borderId="0" xfId="0" applyFont="1"/>
    <xf numFmtId="2" fontId="58" fillId="0" borderId="49" xfId="0" applyNumberFormat="1" applyFont="1" applyBorder="1" applyAlignment="1">
      <alignment horizontal="right"/>
    </xf>
    <xf numFmtId="0" fontId="58" fillId="0" borderId="67" xfId="0" applyFont="1" applyBorder="1" applyAlignment="1">
      <alignment horizontal="left"/>
    </xf>
    <xf numFmtId="3" fontId="58" fillId="0" borderId="67" xfId="0" applyNumberFormat="1" applyFont="1" applyBorder="1" applyAlignment="1">
      <alignment horizontal="right" wrapText="1"/>
    </xf>
    <xf numFmtId="0" fontId="58" fillId="0" borderId="67" xfId="0" applyFont="1" applyBorder="1" applyAlignment="1">
      <alignment horizontal="center" wrapText="1"/>
    </xf>
    <xf numFmtId="171" fontId="58" fillId="0" borderId="67" xfId="28" applyNumberFormat="1" applyFont="1" applyBorder="1" applyAlignment="1">
      <alignment horizontal="center" wrapText="1"/>
    </xf>
    <xf numFmtId="0" fontId="58" fillId="0" borderId="45" xfId="0" applyFont="1" applyBorder="1" applyAlignment="1">
      <alignment horizontal="right" wrapText="1"/>
    </xf>
    <xf numFmtId="0" fontId="58" fillId="0" borderId="68" xfId="0" applyFont="1" applyBorder="1" applyAlignment="1">
      <alignment horizontal="left" wrapText="1"/>
    </xf>
    <xf numFmtId="170" fontId="58" fillId="0" borderId="67" xfId="0" applyNumberFormat="1" applyFont="1" applyBorder="1" applyAlignment="1">
      <alignment horizontal="right" wrapText="1"/>
    </xf>
    <xf numFmtId="164" fontId="58" fillId="0" borderId="45" xfId="0" applyNumberFormat="1" applyFont="1" applyBorder="1" applyAlignment="1">
      <alignment horizontal="right" wrapText="1"/>
    </xf>
    <xf numFmtId="0" fontId="58" fillId="0" borderId="69" xfId="0" applyFont="1" applyBorder="1" applyAlignment="1">
      <alignment horizontal="left" wrapText="1"/>
    </xf>
    <xf numFmtId="170" fontId="58" fillId="0" borderId="68" xfId="0" applyNumberFormat="1" applyFont="1" applyBorder="1" applyAlignment="1">
      <alignment horizontal="right" wrapText="1"/>
    </xf>
    <xf numFmtId="166" fontId="58" fillId="0" borderId="70" xfId="0" applyNumberFormat="1" applyFont="1" applyBorder="1" applyAlignment="1">
      <alignment horizontal="right" wrapText="1"/>
    </xf>
    <xf numFmtId="0" fontId="58" fillId="0" borderId="66" xfId="0" applyFont="1" applyBorder="1"/>
    <xf numFmtId="0" fontId="58" fillId="0" borderId="0" xfId="0" applyFont="1" applyAlignment="1">
      <alignment horizontal="left"/>
    </xf>
    <xf numFmtId="0" fontId="58" fillId="0" borderId="0" xfId="0" applyFont="1" applyAlignment="1">
      <alignment horizontal="center"/>
    </xf>
    <xf numFmtId="0" fontId="58" fillId="0" borderId="0" xfId="0" applyFont="1" applyAlignment="1">
      <alignment horizontal="right"/>
    </xf>
    <xf numFmtId="170" fontId="41" fillId="0" borderId="52" xfId="0" applyNumberFormat="1" applyFont="1" applyBorder="1"/>
    <xf numFmtId="165" fontId="0" fillId="0" borderId="3" xfId="0" applyNumberFormat="1" applyBorder="1" applyAlignment="1">
      <alignment horizontal="right"/>
    </xf>
    <xf numFmtId="165" fontId="0" fillId="0" borderId="39" xfId="0" applyNumberFormat="1" applyBorder="1" applyAlignment="1">
      <alignment horizontal="right"/>
    </xf>
    <xf numFmtId="0" fontId="0" fillId="0" borderId="28" xfId="0" applyBorder="1" applyAlignment="1">
      <alignment horizontal="center"/>
    </xf>
    <xf numFmtId="0" fontId="41" fillId="0" borderId="21" xfId="0" applyFont="1" applyBorder="1"/>
    <xf numFmtId="0" fontId="41" fillId="0" borderId="11" xfId="0" applyFont="1" applyBorder="1"/>
    <xf numFmtId="0" fontId="41" fillId="0" borderId="3" xfId="0" applyFont="1" applyBorder="1"/>
    <xf numFmtId="165" fontId="41" fillId="0" borderId="3" xfId="0" applyNumberFormat="1" applyFont="1" applyBorder="1" applyAlignment="1">
      <alignment horizontal="right"/>
    </xf>
    <xf numFmtId="0" fontId="16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171" fontId="16" fillId="0" borderId="0" xfId="28" applyNumberFormat="1" applyFont="1"/>
    <xf numFmtId="164" fontId="50" fillId="34" borderId="49" xfId="0" applyNumberFormat="1" applyFont="1" applyFill="1" applyBorder="1"/>
    <xf numFmtId="164" fontId="50" fillId="34" borderId="0" xfId="0" applyNumberFormat="1" applyFont="1" applyFill="1"/>
    <xf numFmtId="164" fontId="50" fillId="34" borderId="41" xfId="0" applyNumberFormat="1" applyFont="1" applyFill="1" applyBorder="1"/>
    <xf numFmtId="164" fontId="50" fillId="34" borderId="46" xfId="0" applyNumberFormat="1" applyFont="1" applyFill="1" applyBorder="1"/>
    <xf numFmtId="164" fontId="50" fillId="34" borderId="42" xfId="0" applyNumberFormat="1" applyFont="1" applyFill="1" applyBorder="1"/>
    <xf numFmtId="0" fontId="58" fillId="0" borderId="72" xfId="0" applyFont="1" applyBorder="1" applyAlignment="1">
      <alignment horizontal="left"/>
    </xf>
    <xf numFmtId="0" fontId="58" fillId="0" borderId="73" xfId="0" applyFont="1" applyBorder="1" applyAlignment="1">
      <alignment horizontal="center" wrapText="1"/>
    </xf>
    <xf numFmtId="0" fontId="58" fillId="0" borderId="0" xfId="0" applyFont="1" applyAlignment="1">
      <alignment horizontal="center" wrapText="1"/>
    </xf>
    <xf numFmtId="2" fontId="58" fillId="0" borderId="0" xfId="0" applyNumberFormat="1" applyFont="1" applyAlignment="1">
      <alignment horizontal="center" wrapText="1"/>
    </xf>
    <xf numFmtId="170" fontId="58" fillId="0" borderId="0" xfId="0" applyNumberFormat="1" applyFont="1" applyAlignment="1">
      <alignment horizontal="right"/>
    </xf>
    <xf numFmtId="170" fontId="58" fillId="0" borderId="0" xfId="0" applyNumberFormat="1" applyFont="1"/>
    <xf numFmtId="165" fontId="41" fillId="0" borderId="12" xfId="0" applyNumberFormat="1" applyFont="1" applyBorder="1" applyAlignment="1">
      <alignment horizontal="right"/>
    </xf>
    <xf numFmtId="165" fontId="0" fillId="0" borderId="12" xfId="0" applyNumberFormat="1" applyBorder="1" applyAlignment="1">
      <alignment horizontal="right"/>
    </xf>
    <xf numFmtId="164" fontId="50" fillId="34" borderId="43" xfId="0" applyNumberFormat="1" applyFont="1" applyFill="1" applyBorder="1"/>
    <xf numFmtId="164" fontId="58" fillId="0" borderId="80" xfId="0" applyNumberFormat="1" applyFont="1" applyBorder="1" applyAlignment="1">
      <alignment horizontal="right" wrapText="1"/>
    </xf>
    <xf numFmtId="166" fontId="58" fillId="0" borderId="80" xfId="0" applyNumberFormat="1" applyFont="1" applyBorder="1"/>
    <xf numFmtId="164" fontId="58" fillId="0" borderId="63" xfId="0" applyNumberFormat="1" applyFont="1" applyBorder="1"/>
    <xf numFmtId="0" fontId="59" fillId="0" borderId="0" xfId="0" applyFont="1"/>
    <xf numFmtId="0" fontId="60" fillId="0" borderId="0" xfId="0" applyFont="1"/>
    <xf numFmtId="0" fontId="60" fillId="0" borderId="0" xfId="0" applyFont="1" applyAlignment="1">
      <alignment horizontal="center"/>
    </xf>
    <xf numFmtId="0" fontId="60" fillId="0" borderId="72" xfId="0" applyFont="1" applyBorder="1" applyAlignment="1">
      <alignment horizontal="left"/>
    </xf>
    <xf numFmtId="0" fontId="60" fillId="0" borderId="73" xfId="0" applyFont="1" applyBorder="1" applyAlignment="1">
      <alignment horizontal="center" wrapText="1"/>
    </xf>
    <xf numFmtId="0" fontId="60" fillId="0" borderId="8" xfId="0" applyFont="1" applyBorder="1" applyAlignment="1">
      <alignment horizontal="center" wrapText="1"/>
    </xf>
    <xf numFmtId="0" fontId="60" fillId="0" borderId="59" xfId="0" applyFont="1" applyBorder="1" applyAlignment="1">
      <alignment horizontal="center" wrapText="1"/>
    </xf>
    <xf numFmtId="0" fontId="60" fillId="0" borderId="82" xfId="0" applyFont="1" applyBorder="1" applyAlignment="1">
      <alignment horizontal="center" wrapText="1"/>
    </xf>
    <xf numFmtId="0" fontId="60" fillId="0" borderId="83" xfId="0" applyFont="1" applyBorder="1" applyAlignment="1">
      <alignment horizontal="left"/>
    </xf>
    <xf numFmtId="0" fontId="60" fillId="0" borderId="54" xfId="0" applyFont="1" applyBorder="1" applyAlignment="1">
      <alignment horizontal="center" wrapText="1"/>
    </xf>
    <xf numFmtId="0" fontId="60" fillId="0" borderId="54" xfId="0" applyFont="1" applyBorder="1" applyAlignment="1">
      <alignment horizontal="left"/>
    </xf>
    <xf numFmtId="3" fontId="60" fillId="0" borderId="54" xfId="0" applyNumberFormat="1" applyFont="1" applyBorder="1" applyAlignment="1">
      <alignment horizontal="center" wrapText="1"/>
    </xf>
    <xf numFmtId="171" fontId="60" fillId="0" borderId="54" xfId="28" applyNumberFormat="1" applyFont="1" applyBorder="1" applyAlignment="1">
      <alignment horizontal="center" wrapText="1"/>
    </xf>
    <xf numFmtId="0" fontId="60" fillId="0" borderId="0" xfId="0" applyFont="1" applyAlignment="1">
      <alignment horizontal="left"/>
    </xf>
    <xf numFmtId="2" fontId="60" fillId="0" borderId="0" xfId="0" applyNumberFormat="1" applyFont="1" applyAlignment="1">
      <alignment horizontal="center" wrapText="1"/>
    </xf>
    <xf numFmtId="170" fontId="60" fillId="0" borderId="0" xfId="0" applyNumberFormat="1" applyFont="1" applyAlignment="1">
      <alignment horizontal="right" wrapText="1"/>
    </xf>
    <xf numFmtId="0" fontId="60" fillId="0" borderId="0" xfId="0" applyFont="1" applyAlignment="1">
      <alignment horizontal="center" wrapText="1"/>
    </xf>
    <xf numFmtId="2" fontId="60" fillId="0" borderId="54" xfId="0" applyNumberFormat="1" applyFont="1" applyBorder="1" applyAlignment="1">
      <alignment horizontal="center" wrapText="1"/>
    </xf>
    <xf numFmtId="171" fontId="60" fillId="0" borderId="54" xfId="0" applyNumberFormat="1" applyFont="1" applyBorder="1" applyAlignment="1">
      <alignment horizontal="center" wrapText="1"/>
    </xf>
    <xf numFmtId="0" fontId="60" fillId="0" borderId="86" xfId="0" applyFont="1" applyBorder="1" applyAlignment="1">
      <alignment horizontal="left"/>
    </xf>
    <xf numFmtId="0" fontId="60" fillId="0" borderId="67" xfId="0" applyFont="1" applyBorder="1" applyAlignment="1">
      <alignment horizontal="center" wrapText="1"/>
    </xf>
    <xf numFmtId="0" fontId="60" fillId="0" borderId="67" xfId="0" applyFont="1" applyBorder="1" applyAlignment="1">
      <alignment horizontal="left"/>
    </xf>
    <xf numFmtId="171" fontId="60" fillId="0" borderId="67" xfId="28" applyNumberFormat="1" applyFont="1" applyBorder="1" applyAlignment="1">
      <alignment horizontal="center" wrapText="1"/>
    </xf>
    <xf numFmtId="2" fontId="60" fillId="0" borderId="67" xfId="0" applyNumberFormat="1" applyFont="1" applyBorder="1" applyAlignment="1">
      <alignment horizontal="center" wrapText="1"/>
    </xf>
    <xf numFmtId="2" fontId="60" fillId="0" borderId="80" xfId="0" applyNumberFormat="1" applyFont="1" applyBorder="1" applyAlignment="1">
      <alignment horizontal="center" wrapText="1"/>
    </xf>
    <xf numFmtId="0" fontId="60" fillId="0" borderId="89" xfId="0" applyFont="1" applyBorder="1" applyAlignment="1">
      <alignment horizontal="left"/>
    </xf>
    <xf numFmtId="0" fontId="60" fillId="0" borderId="89" xfId="0" applyFont="1" applyBorder="1" applyAlignment="1">
      <alignment horizontal="center" wrapText="1"/>
    </xf>
    <xf numFmtId="3" fontId="60" fillId="0" borderId="89" xfId="0" applyNumberFormat="1" applyFont="1" applyBorder="1" applyAlignment="1">
      <alignment horizontal="center" wrapText="1"/>
    </xf>
    <xf numFmtId="171" fontId="60" fillId="0" borderId="89" xfId="28" applyNumberFormat="1" applyFont="1" applyBorder="1" applyAlignment="1">
      <alignment horizontal="center" wrapText="1"/>
    </xf>
    <xf numFmtId="170" fontId="59" fillId="0" borderId="89" xfId="0" applyNumberFormat="1" applyFont="1" applyBorder="1" applyAlignment="1">
      <alignment horizontal="right" wrapText="1"/>
    </xf>
    <xf numFmtId="0" fontId="59" fillId="0" borderId="89" xfId="0" applyFont="1" applyBorder="1" applyAlignment="1">
      <alignment horizontal="center" wrapText="1"/>
    </xf>
    <xf numFmtId="170" fontId="60" fillId="0" borderId="89" xfId="0" applyNumberFormat="1" applyFont="1" applyBorder="1" applyAlignment="1">
      <alignment horizontal="right" wrapText="1"/>
    </xf>
    <xf numFmtId="2" fontId="60" fillId="0" borderId="89" xfId="0" applyNumberFormat="1" applyFont="1" applyBorder="1" applyAlignment="1">
      <alignment horizontal="center" wrapText="1"/>
    </xf>
    <xf numFmtId="3" fontId="60" fillId="0" borderId="0" xfId="0" applyNumberFormat="1" applyFont="1" applyAlignment="1">
      <alignment horizontal="center" wrapText="1"/>
    </xf>
    <xf numFmtId="171" fontId="60" fillId="0" borderId="0" xfId="28" applyNumberFormat="1" applyFont="1" applyAlignment="1">
      <alignment horizontal="center" wrapText="1"/>
    </xf>
    <xf numFmtId="170" fontId="59" fillId="0" borderId="0" xfId="0" applyNumberFormat="1" applyFont="1" applyAlignment="1">
      <alignment horizontal="right" wrapText="1"/>
    </xf>
    <xf numFmtId="0" fontId="59" fillId="0" borderId="0" xfId="0" applyFont="1" applyAlignment="1">
      <alignment horizontal="center" wrapText="1"/>
    </xf>
    <xf numFmtId="0" fontId="59" fillId="0" borderId="0" xfId="0" applyFont="1" applyAlignment="1">
      <alignment horizontal="center" vertical="center" wrapText="1"/>
    </xf>
    <xf numFmtId="169" fontId="60" fillId="0" borderId="0" xfId="0" applyNumberFormat="1" applyFont="1" applyAlignment="1">
      <alignment horizontal="center" wrapText="1"/>
    </xf>
    <xf numFmtId="0" fontId="60" fillId="0" borderId="0" xfId="0" applyFont="1" applyAlignment="1">
      <alignment vertical="top"/>
    </xf>
    <xf numFmtId="170" fontId="0" fillId="0" borderId="0" xfId="0" applyNumberFormat="1" applyAlignment="1">
      <alignment horizontal="right"/>
    </xf>
    <xf numFmtId="9" fontId="0" fillId="0" borderId="0" xfId="0" applyNumberFormat="1" applyAlignment="1">
      <alignment horizontal="right"/>
    </xf>
    <xf numFmtId="0" fontId="4" fillId="0" borderId="0" xfId="0" applyFont="1" applyAlignment="1">
      <alignment horizontal="left"/>
    </xf>
    <xf numFmtId="9" fontId="45" fillId="0" borderId="0" xfId="0" applyNumberFormat="1" applyFont="1"/>
    <xf numFmtId="0" fontId="41" fillId="0" borderId="0" xfId="0" applyFont="1" applyAlignment="1">
      <alignment horizontal="center" wrapText="1"/>
    </xf>
    <xf numFmtId="165" fontId="0" fillId="0" borderId="28" xfId="0" applyNumberFormat="1" applyBorder="1" applyAlignment="1">
      <alignment horizontal="center"/>
    </xf>
    <xf numFmtId="165" fontId="3" fillId="0" borderId="28" xfId="0" applyNumberFormat="1" applyFont="1" applyBorder="1" applyAlignment="1">
      <alignment horizontal="center"/>
    </xf>
    <xf numFmtId="165" fontId="3" fillId="0" borderId="90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 wrapText="1"/>
    </xf>
    <xf numFmtId="165" fontId="3" fillId="0" borderId="3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165" fontId="0" fillId="0" borderId="3" xfId="0" applyNumberFormat="1" applyBorder="1"/>
    <xf numFmtId="165" fontId="0" fillId="0" borderId="12" xfId="0" applyNumberFormat="1" applyBorder="1"/>
    <xf numFmtId="165" fontId="41" fillId="0" borderId="52" xfId="0" applyNumberFormat="1" applyFont="1" applyBorder="1" applyAlignment="1">
      <alignment horizontal="right"/>
    </xf>
    <xf numFmtId="165" fontId="41" fillId="0" borderId="53" xfId="0" applyNumberFormat="1" applyFont="1" applyBorder="1" applyAlignment="1">
      <alignment horizontal="right"/>
    </xf>
    <xf numFmtId="165" fontId="0" fillId="0" borderId="28" xfId="0" applyNumberFormat="1" applyBorder="1"/>
    <xf numFmtId="165" fontId="0" fillId="0" borderId="39" xfId="0" applyNumberFormat="1" applyBorder="1"/>
    <xf numFmtId="165" fontId="41" fillId="0" borderId="52" xfId="0" applyNumberFormat="1" applyFont="1" applyBorder="1"/>
    <xf numFmtId="165" fontId="41" fillId="0" borderId="53" xfId="0" applyNumberFormat="1" applyFont="1" applyBorder="1"/>
    <xf numFmtId="165" fontId="0" fillId="0" borderId="0" xfId="0" applyNumberFormat="1" applyAlignment="1">
      <alignment horizontal="right"/>
    </xf>
    <xf numFmtId="164" fontId="4" fillId="35" borderId="3" xfId="0" applyNumberFormat="1" applyFont="1" applyFill="1" applyBorder="1"/>
    <xf numFmtId="14" fontId="0" fillId="0" borderId="0" xfId="0" applyNumberFormat="1"/>
    <xf numFmtId="0" fontId="0" fillId="0" borderId="26" xfId="0" applyBorder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horizontal="right"/>
    </xf>
    <xf numFmtId="167" fontId="0" fillId="0" borderId="0" xfId="0" applyNumberFormat="1"/>
    <xf numFmtId="166" fontId="0" fillId="0" borderId="0" xfId="0" applyNumberFormat="1"/>
    <xf numFmtId="0" fontId="61" fillId="0" borderId="0" xfId="0" applyFont="1" applyAlignment="1">
      <alignment vertical="center"/>
    </xf>
    <xf numFmtId="0" fontId="4" fillId="0" borderId="54" xfId="0" applyFont="1" applyBorder="1" applyAlignment="1">
      <alignment horizontal="center"/>
    </xf>
    <xf numFmtId="0" fontId="4" fillId="0" borderId="85" xfId="0" applyFont="1" applyBorder="1" applyAlignment="1">
      <alignment horizontal="center"/>
    </xf>
    <xf numFmtId="0" fontId="0" fillId="0" borderId="46" xfId="0" applyBorder="1"/>
    <xf numFmtId="0" fontId="0" fillId="0" borderId="49" xfId="0" applyBorder="1"/>
    <xf numFmtId="0" fontId="0" fillId="0" borderId="41" xfId="0" applyBorder="1" applyAlignment="1">
      <alignment horizontal="right"/>
    </xf>
    <xf numFmtId="167" fontId="0" fillId="0" borderId="0" xfId="0" applyNumberFormat="1" applyAlignment="1">
      <alignment horizontal="right"/>
    </xf>
    <xf numFmtId="0" fontId="4" fillId="0" borderId="66" xfId="0" applyFont="1" applyBorder="1" applyAlignment="1">
      <alignment horizontal="center"/>
    </xf>
    <xf numFmtId="0" fontId="4" fillId="0" borderId="77" xfId="0" applyFont="1" applyBorder="1"/>
    <xf numFmtId="0" fontId="4" fillId="0" borderId="26" xfId="0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167" fontId="0" fillId="0" borderId="3" xfId="0" applyNumberFormat="1" applyBorder="1"/>
    <xf numFmtId="0" fontId="0" fillId="0" borderId="3" xfId="0" applyBorder="1" applyAlignment="1">
      <alignment horizontal="right"/>
    </xf>
    <xf numFmtId="166" fontId="0" fillId="0" borderId="3" xfId="0" applyNumberFormat="1" applyBorder="1" applyAlignment="1">
      <alignment horizontal="right"/>
    </xf>
    <xf numFmtId="0" fontId="3" fillId="0" borderId="3" xfId="0" applyFont="1" applyBorder="1"/>
    <xf numFmtId="2" fontId="0" fillId="0" borderId="3" xfId="0" applyNumberFormat="1" applyBorder="1" applyAlignment="1">
      <alignment horizontal="right"/>
    </xf>
    <xf numFmtId="0" fontId="0" fillId="0" borderId="41" xfId="0" applyBorder="1"/>
    <xf numFmtId="0" fontId="62" fillId="0" borderId="0" xfId="0" applyFont="1"/>
    <xf numFmtId="43" fontId="60" fillId="0" borderId="54" xfId="0" applyNumberFormat="1" applyFont="1" applyBorder="1" applyAlignment="1">
      <alignment horizontal="center" wrapText="1"/>
    </xf>
    <xf numFmtId="174" fontId="60" fillId="0" borderId="54" xfId="0" applyNumberFormat="1" applyFont="1" applyBorder="1" applyAlignment="1">
      <alignment horizontal="center" wrapText="1"/>
    </xf>
    <xf numFmtId="0" fontId="50" fillId="0" borderId="0" xfId="0" applyFont="1" applyAlignment="1">
      <alignment horizontal="center"/>
    </xf>
    <xf numFmtId="0" fontId="50" fillId="0" borderId="24" xfId="0" applyFont="1" applyBorder="1" applyAlignment="1">
      <alignment horizontal="center"/>
    </xf>
    <xf numFmtId="0" fontId="50" fillId="0" borderId="49" xfId="0" applyFont="1" applyBorder="1" applyAlignment="1">
      <alignment horizontal="center"/>
    </xf>
    <xf numFmtId="0" fontId="50" fillId="0" borderId="40" xfId="0" applyFont="1" applyBorder="1" applyAlignment="1">
      <alignment horizontal="center"/>
    </xf>
    <xf numFmtId="0" fontId="50" fillId="0" borderId="44" xfId="0" applyFont="1" applyBorder="1" applyAlignment="1">
      <alignment horizontal="center"/>
    </xf>
    <xf numFmtId="0" fontId="50" fillId="0" borderId="0" xfId="0" applyFont="1" applyAlignment="1">
      <alignment horizontal="left"/>
    </xf>
    <xf numFmtId="0" fontId="50" fillId="0" borderId="68" xfId="0" applyFont="1" applyBorder="1" applyAlignment="1">
      <alignment horizontal="left"/>
    </xf>
    <xf numFmtId="0" fontId="50" fillId="0" borderId="4" xfId="0" applyFont="1" applyBorder="1" applyAlignment="1">
      <alignment horizontal="center" wrapText="1"/>
    </xf>
    <xf numFmtId="0" fontId="50" fillId="0" borderId="38" xfId="0" applyFont="1" applyBorder="1" applyAlignment="1">
      <alignment horizontal="center" wrapText="1"/>
    </xf>
    <xf numFmtId="0" fontId="50" fillId="0" borderId="5" xfId="0" applyFont="1" applyBorder="1" applyAlignment="1">
      <alignment horizontal="center" wrapText="1"/>
    </xf>
    <xf numFmtId="0" fontId="50" fillId="0" borderId="4" xfId="0" applyFont="1" applyBorder="1" applyAlignment="1">
      <alignment horizontal="center"/>
    </xf>
    <xf numFmtId="0" fontId="50" fillId="0" borderId="38" xfId="0" applyFont="1" applyBorder="1" applyAlignment="1">
      <alignment horizontal="center"/>
    </xf>
    <xf numFmtId="0" fontId="50" fillId="0" borderId="5" xfId="0" applyFont="1" applyBorder="1" applyAlignment="1">
      <alignment horizontal="center"/>
    </xf>
    <xf numFmtId="0" fontId="4" fillId="35" borderId="0" xfId="0" applyFont="1" applyFill="1"/>
    <xf numFmtId="0" fontId="4" fillId="35" borderId="41" xfId="0" applyFont="1" applyFill="1" applyBorder="1"/>
    <xf numFmtId="2" fontId="4" fillId="35" borderId="0" xfId="0" applyNumberFormat="1" applyFont="1" applyFill="1"/>
    <xf numFmtId="167" fontId="4" fillId="35" borderId="0" xfId="0" applyNumberFormat="1" applyFont="1" applyFill="1"/>
    <xf numFmtId="164" fontId="4" fillId="35" borderId="0" xfId="0" applyNumberFormat="1" applyFont="1" applyFill="1"/>
    <xf numFmtId="166" fontId="4" fillId="35" borderId="0" xfId="0" applyNumberFormat="1" applyFont="1" applyFill="1"/>
    <xf numFmtId="0" fontId="3" fillId="35" borderId="0" xfId="0" applyFont="1" applyFill="1"/>
    <xf numFmtId="0" fontId="0" fillId="0" borderId="0" xfId="0" applyAlignment="1">
      <alignment wrapText="1"/>
    </xf>
    <xf numFmtId="164" fontId="51" fillId="0" borderId="24" xfId="0" applyNumberFormat="1" applyFont="1" applyBorder="1"/>
    <xf numFmtId="164" fontId="51" fillId="0" borderId="43" xfId="0" applyNumberFormat="1" applyFont="1" applyBorder="1"/>
    <xf numFmtId="164" fontId="51" fillId="0" borderId="25" xfId="0" applyNumberFormat="1" applyFont="1" applyBorder="1"/>
    <xf numFmtId="164" fontId="51" fillId="0" borderId="45" xfId="0" applyNumberFormat="1" applyFont="1" applyBorder="1"/>
    <xf numFmtId="164" fontId="51" fillId="0" borderId="68" xfId="0" applyNumberFormat="1" applyFont="1" applyBorder="1"/>
    <xf numFmtId="164" fontId="51" fillId="0" borderId="71" xfId="0" applyNumberFormat="1" applyFont="1" applyBorder="1"/>
    <xf numFmtId="2" fontId="12" fillId="0" borderId="47" xfId="0" applyNumberFormat="1" applyFont="1" applyBorder="1"/>
    <xf numFmtId="2" fontId="12" fillId="0" borderId="44" xfId="0" applyNumberFormat="1" applyFont="1" applyBorder="1"/>
    <xf numFmtId="2" fontId="52" fillId="0" borderId="44" xfId="0" applyNumberFormat="1" applyFont="1" applyBorder="1"/>
    <xf numFmtId="3" fontId="58" fillId="35" borderId="54" xfId="0" applyNumberFormat="1" applyFont="1" applyFill="1" applyBorder="1" applyAlignment="1">
      <alignment horizontal="right" wrapText="1"/>
    </xf>
    <xf numFmtId="170" fontId="58" fillId="0" borderId="87" xfId="0" applyNumberFormat="1" applyFont="1" applyBorder="1" applyAlignment="1">
      <alignment horizontal="right" wrapText="1"/>
    </xf>
    <xf numFmtId="168" fontId="0" fillId="0" borderId="3" xfId="0" applyNumberFormat="1" applyBorder="1" applyAlignment="1">
      <alignment horizontal="right"/>
    </xf>
    <xf numFmtId="0" fontId="63" fillId="0" borderId="0" xfId="0" applyFont="1"/>
    <xf numFmtId="164" fontId="14" fillId="0" borderId="24" xfId="0" applyNumberFormat="1" applyFont="1" applyBorder="1"/>
    <xf numFmtId="164" fontId="14" fillId="0" borderId="43" xfId="0" applyNumberFormat="1" applyFont="1" applyBorder="1"/>
    <xf numFmtId="164" fontId="14" fillId="0" borderId="25" xfId="0" applyNumberFormat="1" applyFont="1" applyBorder="1"/>
    <xf numFmtId="164" fontId="14" fillId="0" borderId="41" xfId="0" applyNumberFormat="1" applyFont="1" applyBorder="1"/>
    <xf numFmtId="178" fontId="41" fillId="0" borderId="52" xfId="0" applyNumberFormat="1" applyFont="1" applyBorder="1" applyAlignment="1">
      <alignment horizontal="right"/>
    </xf>
    <xf numFmtId="178" fontId="58" fillId="0" borderId="0" xfId="0" applyNumberFormat="1" applyFont="1" applyAlignment="1">
      <alignment horizontal="center" wrapText="1"/>
    </xf>
    <xf numFmtId="179" fontId="58" fillId="0" borderId="0" xfId="0" applyNumberFormat="1" applyFont="1" applyAlignment="1">
      <alignment horizontal="center" wrapText="1"/>
    </xf>
    <xf numFmtId="0" fontId="58" fillId="35" borderId="83" xfId="0" applyFont="1" applyFill="1" applyBorder="1" applyAlignment="1">
      <alignment horizontal="left"/>
    </xf>
    <xf numFmtId="0" fontId="58" fillId="35" borderId="86" xfId="0" applyFont="1" applyFill="1" applyBorder="1" applyAlignment="1">
      <alignment horizontal="left"/>
    </xf>
    <xf numFmtId="164" fontId="14" fillId="0" borderId="49" xfId="0" applyNumberFormat="1" applyFont="1" applyBorder="1"/>
    <xf numFmtId="164" fontId="14" fillId="0" borderId="46" xfId="0" applyNumberFormat="1" applyFont="1" applyBorder="1"/>
    <xf numFmtId="0" fontId="50" fillId="35" borderId="0" xfId="0" applyFont="1" applyFill="1"/>
    <xf numFmtId="0" fontId="0" fillId="35" borderId="49" xfId="0" applyFill="1" applyBorder="1"/>
    <xf numFmtId="0" fontId="0" fillId="0" borderId="40" xfId="0" applyBorder="1"/>
    <xf numFmtId="2" fontId="0" fillId="0" borderId="41" xfId="0" applyNumberFormat="1" applyBorder="1"/>
    <xf numFmtId="0" fontId="0" fillId="0" borderId="42" xfId="0" applyBorder="1"/>
    <xf numFmtId="0" fontId="0" fillId="0" borderId="48" xfId="0" applyBorder="1"/>
    <xf numFmtId="0" fontId="41" fillId="0" borderId="41" xfId="0" applyFont="1" applyBorder="1"/>
    <xf numFmtId="0" fontId="0" fillId="0" borderId="68" xfId="0" applyBorder="1"/>
    <xf numFmtId="0" fontId="4" fillId="0" borderId="84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0" fillId="0" borderId="21" xfId="0" applyBorder="1"/>
    <xf numFmtId="0" fontId="0" fillId="0" borderId="27" xfId="0" applyBorder="1"/>
    <xf numFmtId="2" fontId="0" fillId="0" borderId="12" xfId="0" applyNumberFormat="1" applyBorder="1"/>
    <xf numFmtId="0" fontId="4" fillId="0" borderId="24" xfId="0" applyFont="1" applyBorder="1" applyAlignment="1">
      <alignment horizontal="center"/>
    </xf>
    <xf numFmtId="166" fontId="0" fillId="0" borderId="12" xfId="0" applyNumberFormat="1" applyBorder="1"/>
    <xf numFmtId="2" fontId="3" fillId="0" borderId="11" xfId="0" applyNumberFormat="1" applyFont="1" applyBorder="1"/>
    <xf numFmtId="2" fontId="3" fillId="0" borderId="3" xfId="0" applyNumberFormat="1" applyFont="1" applyBorder="1"/>
    <xf numFmtId="2" fontId="3" fillId="0" borderId="12" xfId="0" applyNumberFormat="1" applyFont="1" applyBorder="1"/>
    <xf numFmtId="0" fontId="41" fillId="0" borderId="49" xfId="0" applyFont="1" applyBorder="1"/>
    <xf numFmtId="0" fontId="44" fillId="0" borderId="49" xfId="0" applyFont="1" applyBorder="1"/>
    <xf numFmtId="167" fontId="44" fillId="0" borderId="0" xfId="0" applyNumberFormat="1" applyFont="1"/>
    <xf numFmtId="0" fontId="62" fillId="0" borderId="41" xfId="0" applyFont="1" applyBorder="1" applyAlignment="1">
      <alignment horizontal="center"/>
    </xf>
    <xf numFmtId="0" fontId="62" fillId="0" borderId="41" xfId="0" applyFont="1" applyBorder="1"/>
    <xf numFmtId="0" fontId="66" fillId="0" borderId="41" xfId="0" applyFont="1" applyBorder="1" applyAlignment="1">
      <alignment horizontal="center"/>
    </xf>
    <xf numFmtId="0" fontId="62" fillId="35" borderId="41" xfId="0" applyFont="1" applyFill="1" applyBorder="1" applyAlignment="1">
      <alignment horizontal="center"/>
    </xf>
    <xf numFmtId="0" fontId="62" fillId="0" borderId="47" xfId="0" applyFont="1" applyBorder="1" applyAlignment="1">
      <alignment horizontal="center"/>
    </xf>
    <xf numFmtId="0" fontId="62" fillId="0" borderId="92" xfId="0" applyFont="1" applyBorder="1" applyAlignment="1">
      <alignment horizontal="center" wrapText="1"/>
    </xf>
    <xf numFmtId="0" fontId="66" fillId="0" borderId="44" xfId="0" applyFont="1" applyBorder="1" applyAlignment="1">
      <alignment horizontal="center" wrapText="1"/>
    </xf>
    <xf numFmtId="0" fontId="62" fillId="0" borderId="52" xfId="0" applyFont="1" applyBorder="1" applyAlignment="1">
      <alignment horizontal="center" wrapText="1"/>
    </xf>
    <xf numFmtId="0" fontId="62" fillId="35" borderId="44" xfId="0" applyFont="1" applyFill="1" applyBorder="1" applyAlignment="1">
      <alignment horizontal="center" wrapText="1"/>
    </xf>
    <xf numFmtId="0" fontId="62" fillId="0" borderId="51" xfId="0" applyFont="1" applyBorder="1" applyAlignment="1">
      <alignment horizontal="center"/>
    </xf>
    <xf numFmtId="0" fontId="62" fillId="0" borderId="52" xfId="0" applyFont="1" applyBorder="1" applyAlignment="1">
      <alignment horizontal="center"/>
    </xf>
    <xf numFmtId="0" fontId="62" fillId="0" borderId="53" xfId="0" applyFont="1" applyBorder="1" applyAlignment="1">
      <alignment horizontal="center"/>
    </xf>
    <xf numFmtId="0" fontId="62" fillId="0" borderId="24" xfId="0" applyFont="1" applyBorder="1"/>
    <xf numFmtId="0" fontId="62" fillId="0" borderId="43" xfId="0" applyFont="1" applyBorder="1"/>
    <xf numFmtId="0" fontId="62" fillId="35" borderId="43" xfId="0" applyFont="1" applyFill="1" applyBorder="1" applyAlignment="1">
      <alignment horizontal="center"/>
    </xf>
    <xf numFmtId="0" fontId="62" fillId="0" borderId="93" xfId="0" applyFont="1" applyBorder="1" applyAlignment="1">
      <alignment horizontal="center"/>
    </xf>
    <xf numFmtId="0" fontId="62" fillId="0" borderId="54" xfId="0" applyFont="1" applyBorder="1" applyAlignment="1">
      <alignment horizontal="center"/>
    </xf>
    <xf numFmtId="0" fontId="62" fillId="0" borderId="85" xfId="0" applyFont="1" applyBorder="1" applyAlignment="1">
      <alignment horizontal="center"/>
    </xf>
    <xf numFmtId="0" fontId="67" fillId="0" borderId="49" xfId="0" applyFont="1" applyBorder="1"/>
    <xf numFmtId="0" fontId="0" fillId="0" borderId="93" xfId="0" applyBorder="1"/>
    <xf numFmtId="0" fontId="0" fillId="0" borderId="54" xfId="0" applyBorder="1"/>
    <xf numFmtId="0" fontId="0" fillId="0" borderId="85" xfId="0" applyBorder="1"/>
    <xf numFmtId="0" fontId="0" fillId="0" borderId="45" xfId="0" applyBorder="1"/>
    <xf numFmtId="167" fontId="0" fillId="0" borderId="68" xfId="0" applyNumberFormat="1" applyBorder="1"/>
    <xf numFmtId="2" fontId="0" fillId="0" borderId="68" xfId="0" applyNumberFormat="1" applyBorder="1"/>
    <xf numFmtId="3" fontId="0" fillId="0" borderId="68" xfId="0" applyNumberFormat="1" applyBorder="1"/>
    <xf numFmtId="170" fontId="0" fillId="0" borderId="68" xfId="0" applyNumberFormat="1" applyBorder="1"/>
    <xf numFmtId="170" fontId="0" fillId="35" borderId="68" xfId="0" applyNumberFormat="1" applyFill="1" applyBorder="1"/>
    <xf numFmtId="2" fontId="0" fillId="0" borderId="71" xfId="0" applyNumberFormat="1" applyBorder="1"/>
    <xf numFmtId="0" fontId="66" fillId="0" borderId="0" xfId="0" applyFont="1" applyAlignment="1">
      <alignment horizontal="right"/>
    </xf>
    <xf numFmtId="170" fontId="66" fillId="0" borderId="0" xfId="0" applyNumberFormat="1" applyFont="1"/>
    <xf numFmtId="170" fontId="66" fillId="35" borderId="0" xfId="0" applyNumberFormat="1" applyFont="1" applyFill="1"/>
    <xf numFmtId="166" fontId="66" fillId="0" borderId="0" xfId="0" applyNumberFormat="1" applyFont="1"/>
    <xf numFmtId="166" fontId="66" fillId="0" borderId="93" xfId="0" applyNumberFormat="1" applyFont="1" applyBorder="1" applyAlignment="1">
      <alignment horizontal="right"/>
    </xf>
    <xf numFmtId="166" fontId="66" fillId="0" borderId="54" xfId="0" applyNumberFormat="1" applyFont="1" applyBorder="1" applyAlignment="1">
      <alignment horizontal="right"/>
    </xf>
    <xf numFmtId="166" fontId="66" fillId="0" borderId="54" xfId="0" applyNumberFormat="1" applyFont="1" applyBorder="1"/>
    <xf numFmtId="166" fontId="66" fillId="0" borderId="85" xfId="0" applyNumberFormat="1" applyFont="1" applyBorder="1"/>
    <xf numFmtId="2" fontId="66" fillId="0" borderId="0" xfId="0" applyNumberFormat="1" applyFont="1"/>
    <xf numFmtId="2" fontId="66" fillId="0" borderId="46" xfId="0" applyNumberFormat="1" applyFont="1" applyBorder="1"/>
    <xf numFmtId="0" fontId="66" fillId="0" borderId="0" xfId="0" applyFont="1" applyAlignment="1">
      <alignment horizontal="center"/>
    </xf>
    <xf numFmtId="2" fontId="0" fillId="0" borderId="46" xfId="0" applyNumberFormat="1" applyBorder="1"/>
    <xf numFmtId="0" fontId="62" fillId="0" borderId="45" xfId="0" applyFont="1" applyBorder="1"/>
    <xf numFmtId="170" fontId="0" fillId="0" borderId="0" xfId="0" applyNumberFormat="1"/>
    <xf numFmtId="0" fontId="62" fillId="0" borderId="49" xfId="0" applyFont="1" applyBorder="1"/>
    <xf numFmtId="170" fontId="0" fillId="35" borderId="0" xfId="0" applyNumberFormat="1" applyFill="1"/>
    <xf numFmtId="0" fontId="68" fillId="0" borderId="49" xfId="0" applyFont="1" applyBorder="1" applyAlignment="1">
      <alignment vertical="center"/>
    </xf>
    <xf numFmtId="0" fontId="68" fillId="35" borderId="0" xfId="0" applyFont="1" applyFill="1" applyAlignment="1">
      <alignment horizontal="right" vertical="center"/>
    </xf>
    <xf numFmtId="0" fontId="66" fillId="35" borderId="0" xfId="0" applyFont="1" applyFill="1"/>
    <xf numFmtId="167" fontId="62" fillId="0" borderId="0" xfId="0" applyNumberFormat="1" applyFont="1"/>
    <xf numFmtId="0" fontId="68" fillId="0" borderId="45" xfId="0" applyFont="1" applyBorder="1" applyAlignment="1">
      <alignment vertical="center"/>
    </xf>
    <xf numFmtId="167" fontId="62" fillId="0" borderId="68" xfId="0" applyNumberFormat="1" applyFont="1" applyBorder="1"/>
    <xf numFmtId="167" fontId="66" fillId="0" borderId="0" xfId="0" applyNumberFormat="1" applyFont="1"/>
    <xf numFmtId="3" fontId="66" fillId="0" borderId="0" xfId="0" applyNumberFormat="1" applyFont="1"/>
    <xf numFmtId="0" fontId="68" fillId="0" borderId="0" xfId="0" applyFont="1" applyAlignment="1">
      <alignment horizontal="right" vertical="center"/>
    </xf>
    <xf numFmtId="0" fontId="68" fillId="35" borderId="68" xfId="0" applyFont="1" applyFill="1" applyBorder="1" applyAlignment="1">
      <alignment horizontal="right" vertical="center"/>
    </xf>
    <xf numFmtId="2" fontId="66" fillId="35" borderId="0" xfId="0" applyNumberFormat="1" applyFont="1" applyFill="1"/>
    <xf numFmtId="167" fontId="0" fillId="0" borderId="41" xfId="0" applyNumberFormat="1" applyBorder="1"/>
    <xf numFmtId="3" fontId="0" fillId="0" borderId="41" xfId="0" applyNumberFormat="1" applyBorder="1"/>
    <xf numFmtId="0" fontId="66" fillId="0" borderId="41" xfId="0" applyFont="1" applyBorder="1" applyAlignment="1">
      <alignment horizontal="right"/>
    </xf>
    <xf numFmtId="2" fontId="66" fillId="0" borderId="41" xfId="0" applyNumberFormat="1" applyFont="1" applyBorder="1"/>
    <xf numFmtId="2" fontId="66" fillId="35" borderId="41" xfId="0" applyNumberFormat="1" applyFont="1" applyFill="1" applyBorder="1"/>
    <xf numFmtId="166" fontId="66" fillId="0" borderId="41" xfId="0" applyNumberFormat="1" applyFont="1" applyBorder="1"/>
    <xf numFmtId="2" fontId="66" fillId="0" borderId="42" xfId="0" applyNumberFormat="1" applyFont="1" applyBorder="1"/>
    <xf numFmtId="0" fontId="0" fillId="0" borderId="66" xfId="0" applyBorder="1"/>
    <xf numFmtId="2" fontId="0" fillId="0" borderId="0" xfId="0" applyNumberFormat="1" applyAlignment="1">
      <alignment horizontal="right"/>
    </xf>
    <xf numFmtId="167" fontId="66" fillId="0" borderId="0" xfId="0" applyNumberFormat="1" applyFont="1" applyAlignment="1">
      <alignment horizontal="center"/>
    </xf>
    <xf numFmtId="0" fontId="66" fillId="0" borderId="0" xfId="0" applyFont="1"/>
    <xf numFmtId="0" fontId="0" fillId="0" borderId="2" xfId="0" applyBorder="1" applyAlignment="1">
      <alignment horizontal="center"/>
    </xf>
    <xf numFmtId="167" fontId="0" fillId="0" borderId="2" xfId="0" applyNumberFormat="1" applyBorder="1"/>
    <xf numFmtId="170" fontId="0" fillId="0" borderId="0" xfId="0" applyNumberFormat="1" applyAlignment="1">
      <alignment horizontal="center"/>
    </xf>
    <xf numFmtId="166" fontId="62" fillId="0" borderId="94" xfId="0" applyNumberFormat="1" applyFont="1" applyBorder="1"/>
    <xf numFmtId="166" fontId="62" fillId="0" borderId="67" xfId="0" applyNumberFormat="1" applyFont="1" applyBorder="1"/>
    <xf numFmtId="166" fontId="0" fillId="0" borderId="67" xfId="0" applyNumberFormat="1" applyBorder="1"/>
    <xf numFmtId="166" fontId="0" fillId="0" borderId="88" xfId="0" applyNumberFormat="1" applyBorder="1"/>
    <xf numFmtId="166" fontId="0" fillId="0" borderId="93" xfId="0" applyNumberFormat="1" applyBorder="1" applyAlignment="1">
      <alignment horizontal="right"/>
    </xf>
    <xf numFmtId="166" fontId="0" fillId="0" borderId="54" xfId="0" applyNumberFormat="1" applyBorder="1" applyAlignment="1">
      <alignment horizontal="right"/>
    </xf>
    <xf numFmtId="166" fontId="0" fillId="0" borderId="54" xfId="0" applyNumberFormat="1" applyBorder="1"/>
    <xf numFmtId="166" fontId="0" fillId="0" borderId="85" xfId="0" applyNumberFormat="1" applyBorder="1"/>
    <xf numFmtId="166" fontId="62" fillId="0" borderId="93" xfId="0" applyNumberFormat="1" applyFont="1" applyBorder="1"/>
    <xf numFmtId="166" fontId="62" fillId="0" borderId="54" xfId="0" applyNumberFormat="1" applyFont="1" applyBorder="1"/>
    <xf numFmtId="166" fontId="66" fillId="0" borderId="93" xfId="0" applyNumberFormat="1" applyFont="1" applyBorder="1"/>
    <xf numFmtId="166" fontId="66" fillId="0" borderId="65" xfId="0" applyNumberFormat="1" applyFont="1" applyBorder="1"/>
    <xf numFmtId="166" fontId="66" fillId="0" borderId="46" xfId="0" applyNumberFormat="1" applyFont="1" applyBorder="1"/>
    <xf numFmtId="166" fontId="62" fillId="0" borderId="65" xfId="0" applyNumberFormat="1" applyFont="1" applyBorder="1"/>
    <xf numFmtId="166" fontId="62" fillId="0" borderId="69" xfId="0" applyNumberFormat="1" applyFont="1" applyBorder="1"/>
    <xf numFmtId="0" fontId="55" fillId="0" borderId="47" xfId="0" applyFont="1" applyBorder="1" applyAlignment="1">
      <alignment horizontal="center"/>
    </xf>
    <xf numFmtId="0" fontId="55" fillId="0" borderId="44" xfId="0" applyFont="1" applyBorder="1" applyAlignment="1">
      <alignment horizontal="center"/>
    </xf>
    <xf numFmtId="0" fontId="55" fillId="0" borderId="44" xfId="0" applyFont="1" applyBorder="1" applyAlignment="1">
      <alignment horizontal="center" wrapText="1"/>
    </xf>
    <xf numFmtId="167" fontId="55" fillId="0" borderId="0" xfId="0" applyNumberFormat="1" applyFont="1"/>
    <xf numFmtId="0" fontId="44" fillId="0" borderId="95" xfId="0" applyFont="1" applyBorder="1"/>
    <xf numFmtId="17" fontId="44" fillId="0" borderId="50" xfId="0" applyNumberFormat="1" applyFont="1" applyBorder="1" applyAlignment="1">
      <alignment wrapText="1"/>
    </xf>
    <xf numFmtId="0" fontId="44" fillId="0" borderId="38" xfId="0" applyFont="1" applyBorder="1"/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 vertical="center"/>
    </xf>
    <xf numFmtId="1" fontId="44" fillId="0" borderId="0" xfId="0" applyNumberFormat="1" applyFont="1"/>
    <xf numFmtId="0" fontId="44" fillId="0" borderId="3" xfId="0" applyFont="1" applyBorder="1"/>
    <xf numFmtId="0" fontId="44" fillId="0" borderId="41" xfId="0" applyFont="1" applyBorder="1"/>
    <xf numFmtId="0" fontId="4" fillId="0" borderId="64" xfId="0" applyFont="1" applyBorder="1"/>
    <xf numFmtId="0" fontId="4" fillId="0" borderId="64" xfId="0" applyFont="1" applyBorder="1" applyAlignment="1">
      <alignment horizontal="center"/>
    </xf>
    <xf numFmtId="0" fontId="4" fillId="0" borderId="35" xfId="0" applyFont="1" applyBorder="1"/>
    <xf numFmtId="0" fontId="4" fillId="0" borderId="27" xfId="0" applyFont="1" applyBorder="1"/>
    <xf numFmtId="0" fontId="4" fillId="0" borderId="11" xfId="0" applyFont="1" applyBorder="1"/>
    <xf numFmtId="0" fontId="0" fillId="0" borderId="26" xfId="0" applyBorder="1" applyAlignment="1">
      <alignment horizontal="center"/>
    </xf>
    <xf numFmtId="0" fontId="0" fillId="0" borderId="3" xfId="0" applyBorder="1" applyAlignment="1">
      <alignment horizontal="center"/>
    </xf>
    <xf numFmtId="171" fontId="25" fillId="0" borderId="3" xfId="28" applyNumberFormat="1" applyBorder="1"/>
    <xf numFmtId="172" fontId="0" fillId="0" borderId="3" xfId="0" applyNumberFormat="1" applyBorder="1"/>
    <xf numFmtId="43" fontId="0" fillId="0" borderId="3" xfId="0" applyNumberFormat="1" applyBorder="1"/>
    <xf numFmtId="1" fontId="0" fillId="0" borderId="3" xfId="0" applyNumberFormat="1" applyBorder="1"/>
    <xf numFmtId="171" fontId="0" fillId="0" borderId="0" xfId="0" applyNumberFormat="1"/>
    <xf numFmtId="0" fontId="55" fillId="35" borderId="0" xfId="44" applyFont="1" applyFill="1"/>
    <xf numFmtId="172" fontId="0" fillId="0" borderId="0" xfId="0" applyNumberFormat="1"/>
    <xf numFmtId="3" fontId="25" fillId="0" borderId="3" xfId="28" applyNumberFormat="1" applyBorder="1"/>
    <xf numFmtId="0" fontId="69" fillId="0" borderId="0" xfId="0" applyFont="1" applyAlignment="1">
      <alignment vertical="center"/>
    </xf>
    <xf numFmtId="0" fontId="70" fillId="39" borderId="5" xfId="0" applyFont="1" applyFill="1" applyBorder="1" applyAlignment="1">
      <alignment vertical="center" wrapText="1"/>
    </xf>
    <xf numFmtId="0" fontId="70" fillId="39" borderId="42" xfId="0" applyFont="1" applyFill="1" applyBorder="1" applyAlignment="1">
      <alignment vertical="center" wrapText="1"/>
    </xf>
    <xf numFmtId="0" fontId="70" fillId="39" borderId="42" xfId="0" applyFont="1" applyFill="1" applyBorder="1" applyAlignment="1">
      <alignment vertical="center"/>
    </xf>
    <xf numFmtId="0" fontId="71" fillId="40" borderId="5" xfId="0" applyFont="1" applyFill="1" applyBorder="1" applyAlignment="1">
      <alignment vertical="center"/>
    </xf>
    <xf numFmtId="0" fontId="71" fillId="40" borderId="42" xfId="0" applyFont="1" applyFill="1" applyBorder="1" applyAlignment="1">
      <alignment vertical="center"/>
    </xf>
    <xf numFmtId="0" fontId="71" fillId="0" borderId="5" xfId="0" applyFont="1" applyBorder="1" applyAlignment="1">
      <alignment vertical="center"/>
    </xf>
    <xf numFmtId="0" fontId="71" fillId="0" borderId="42" xfId="0" applyFont="1" applyBorder="1" applyAlignment="1">
      <alignment vertical="center"/>
    </xf>
    <xf numFmtId="0" fontId="47" fillId="0" borderId="0" xfId="0" applyFont="1" applyAlignment="1">
      <alignment horizontal="right" vertical="center"/>
    </xf>
    <xf numFmtId="4" fontId="47" fillId="0" borderId="0" xfId="0" applyNumberFormat="1" applyFont="1" applyAlignment="1">
      <alignment horizontal="right" vertical="center"/>
    </xf>
    <xf numFmtId="0" fontId="41" fillId="0" borderId="51" xfId="0" applyFont="1" applyBorder="1" applyAlignment="1">
      <alignment horizontal="right"/>
    </xf>
    <xf numFmtId="165" fontId="41" fillId="0" borderId="3" xfId="0" applyNumberFormat="1" applyFont="1" applyBorder="1"/>
    <xf numFmtId="165" fontId="41" fillId="0" borderId="12" xfId="0" applyNumberFormat="1" applyFont="1" applyBorder="1"/>
    <xf numFmtId="2" fontId="41" fillId="0" borderId="52" xfId="0" applyNumberFormat="1" applyFont="1" applyBorder="1"/>
    <xf numFmtId="169" fontId="58" fillId="0" borderId="54" xfId="0" applyNumberFormat="1" applyFont="1" applyBorder="1" applyAlignment="1">
      <alignment horizontal="right" wrapText="1"/>
    </xf>
    <xf numFmtId="0" fontId="62" fillId="35" borderId="0" xfId="0" applyFont="1" applyFill="1"/>
    <xf numFmtId="171" fontId="25" fillId="35" borderId="3" xfId="28" applyNumberFormat="1" applyFill="1" applyBorder="1"/>
    <xf numFmtId="3" fontId="0" fillId="0" borderId="3" xfId="0" applyNumberFormat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Fill="1"/>
    <xf numFmtId="0" fontId="0" fillId="0" borderId="0" xfId="0" applyFill="1"/>
    <xf numFmtId="0" fontId="0" fillId="0" borderId="24" xfId="0" applyFill="1" applyBorder="1"/>
    <xf numFmtId="0" fontId="0" fillId="0" borderId="43" xfId="0" applyFill="1" applyBorder="1"/>
    <xf numFmtId="0" fontId="0" fillId="0" borderId="25" xfId="0" applyFill="1" applyBorder="1"/>
    <xf numFmtId="0" fontId="0" fillId="0" borderId="49" xfId="0" applyFill="1" applyBorder="1"/>
    <xf numFmtId="0" fontId="0" fillId="0" borderId="0" xfId="0" applyFill="1" applyBorder="1"/>
    <xf numFmtId="2" fontId="0" fillId="0" borderId="0" xfId="0" applyNumberFormat="1" applyFill="1" applyBorder="1"/>
    <xf numFmtId="0" fontId="0" fillId="0" borderId="46" xfId="0" applyFill="1" applyBorder="1"/>
    <xf numFmtId="0" fontId="0" fillId="0" borderId="40" xfId="0" applyFill="1" applyBorder="1"/>
    <xf numFmtId="0" fontId="0" fillId="0" borderId="41" xfId="0" applyFill="1" applyBorder="1"/>
    <xf numFmtId="0" fontId="0" fillId="0" borderId="42" xfId="0" applyFill="1" applyBorder="1"/>
    <xf numFmtId="164" fontId="0" fillId="0" borderId="0" xfId="0" applyNumberFormat="1" applyFill="1"/>
    <xf numFmtId="2" fontId="0" fillId="0" borderId="0" xfId="0" applyNumberFormat="1" applyFill="1"/>
    <xf numFmtId="167" fontId="0" fillId="0" borderId="0" xfId="0" applyNumberFormat="1" applyFill="1"/>
    <xf numFmtId="3" fontId="0" fillId="0" borderId="0" xfId="0" applyNumberFormat="1" applyFill="1"/>
    <xf numFmtId="166" fontId="0" fillId="0" borderId="0" xfId="0" applyNumberFormat="1" applyFill="1"/>
    <xf numFmtId="0" fontId="3" fillId="0" borderId="47" xfId="0" applyFont="1" applyFill="1" applyBorder="1"/>
    <xf numFmtId="0" fontId="0" fillId="0" borderId="44" xfId="0" applyFill="1" applyBorder="1"/>
    <xf numFmtId="164" fontId="0" fillId="0" borderId="0" xfId="0" applyNumberFormat="1" applyFill="1" applyBorder="1"/>
    <xf numFmtId="2" fontId="0" fillId="0" borderId="41" xfId="0" applyNumberFormat="1" applyFill="1" applyBorder="1"/>
    <xf numFmtId="0" fontId="0" fillId="0" borderId="48" xfId="0" applyFill="1" applyBorder="1"/>
    <xf numFmtId="0" fontId="0" fillId="0" borderId="49" xfId="0" applyFill="1" applyBorder="1" applyAlignment="1">
      <alignment horizontal="right" indent="1"/>
    </xf>
    <xf numFmtId="0" fontId="0" fillId="0" borderId="35" xfId="0" applyFill="1" applyBorder="1" applyAlignment="1">
      <alignment horizontal="right" indent="1"/>
    </xf>
    <xf numFmtId="0" fontId="0" fillId="0" borderId="91" xfId="0" applyFill="1" applyBorder="1"/>
    <xf numFmtId="0" fontId="0" fillId="0" borderId="40" xfId="0" applyFill="1" applyBorder="1" applyAlignment="1">
      <alignment horizontal="right" indent="1"/>
    </xf>
    <xf numFmtId="3" fontId="0" fillId="0" borderId="42" xfId="0" applyNumberFormat="1" applyFill="1" applyBorder="1"/>
    <xf numFmtId="0" fontId="0" fillId="0" borderId="0" xfId="0" applyFill="1" applyAlignment="1">
      <alignment horizontal="right"/>
    </xf>
    <xf numFmtId="170" fontId="0" fillId="0" borderId="0" xfId="0" applyNumberFormat="1" applyFill="1" applyBorder="1"/>
    <xf numFmtId="2" fontId="75" fillId="0" borderId="0" xfId="0" applyNumberFormat="1" applyFont="1" applyFill="1" applyBorder="1"/>
    <xf numFmtId="2" fontId="75" fillId="0" borderId="0" xfId="0" applyNumberFormat="1" applyFont="1" applyFill="1" applyBorder="1" applyAlignment="1">
      <alignment horizontal="right"/>
    </xf>
    <xf numFmtId="2" fontId="76" fillId="0" borderId="0" xfId="0" applyNumberFormat="1" applyFont="1" applyFill="1" applyBorder="1" applyAlignment="1">
      <alignment horizontal="right"/>
    </xf>
    <xf numFmtId="2" fontId="76" fillId="0" borderId="0" xfId="0" applyNumberFormat="1" applyFont="1" applyFill="1" applyBorder="1"/>
    <xf numFmtId="0" fontId="0" fillId="0" borderId="0" xfId="0"/>
    <xf numFmtId="0" fontId="44" fillId="0" borderId="38" xfId="0" applyFont="1" applyFill="1" applyBorder="1"/>
    <xf numFmtId="0" fontId="44" fillId="0" borderId="0" xfId="0" applyFont="1" applyFill="1"/>
    <xf numFmtId="0" fontId="62" fillId="0" borderId="41" xfId="0" applyFont="1" applyFill="1" applyBorder="1" applyAlignment="1">
      <alignment horizontal="center"/>
    </xf>
    <xf numFmtId="0" fontId="62" fillId="0" borderId="92" xfId="0" applyFont="1" applyFill="1" applyBorder="1" applyAlignment="1">
      <alignment horizontal="center" wrapText="1"/>
    </xf>
    <xf numFmtId="0" fontId="62" fillId="0" borderId="43" xfId="0" applyFont="1" applyFill="1" applyBorder="1" applyAlignment="1">
      <alignment horizontal="center"/>
    </xf>
    <xf numFmtId="2" fontId="0" fillId="0" borderId="68" xfId="0" applyNumberFormat="1" applyFill="1" applyBorder="1"/>
    <xf numFmtId="2" fontId="66" fillId="0" borderId="0" xfId="0" applyNumberFormat="1" applyFont="1" applyFill="1"/>
    <xf numFmtId="2" fontId="66" fillId="0" borderId="46" xfId="0" applyNumberFormat="1" applyFont="1" applyFill="1" applyBorder="1"/>
    <xf numFmtId="2" fontId="0" fillId="0" borderId="46" xfId="0" applyNumberFormat="1" applyFill="1" applyBorder="1"/>
    <xf numFmtId="2" fontId="0" fillId="0" borderId="71" xfId="0" applyNumberFormat="1" applyFill="1" applyBorder="1"/>
    <xf numFmtId="2" fontId="66" fillId="0" borderId="41" xfId="0" applyNumberFormat="1" applyFont="1" applyFill="1" applyBorder="1"/>
    <xf numFmtId="0" fontId="4" fillId="0" borderId="49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0" fontId="0" fillId="0" borderId="21" xfId="0" applyFill="1" applyBorder="1"/>
    <xf numFmtId="2" fontId="0" fillId="0" borderId="11" xfId="0" applyNumberFormat="1" applyFill="1" applyBorder="1"/>
    <xf numFmtId="0" fontId="0" fillId="0" borderId="11" xfId="0" applyFill="1" applyBorder="1"/>
    <xf numFmtId="2" fontId="3" fillId="0" borderId="11" xfId="0" applyNumberFormat="1" applyFont="1" applyFill="1" applyBorder="1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2" fontId="0" fillId="0" borderId="7" xfId="0" applyNumberFormat="1" applyBorder="1"/>
    <xf numFmtId="0" fontId="0" fillId="0" borderId="0" xfId="0" applyAlignment="1">
      <alignment wrapText="1"/>
    </xf>
    <xf numFmtId="0" fontId="0" fillId="0" borderId="0" xfId="0"/>
    <xf numFmtId="0" fontId="44" fillId="47" borderId="49" xfId="0" applyFont="1" applyFill="1" applyBorder="1"/>
    <xf numFmtId="0" fontId="55" fillId="47" borderId="49" xfId="0" applyFont="1" applyFill="1" applyBorder="1"/>
    <xf numFmtId="0" fontId="55" fillId="47" borderId="0" xfId="0" applyFont="1" applyFill="1"/>
    <xf numFmtId="0" fontId="44" fillId="47" borderId="49" xfId="0" applyFont="1" applyFill="1" applyBorder="1" applyAlignment="1">
      <alignment horizontal="left" vertical="center"/>
    </xf>
    <xf numFmtId="0" fontId="44" fillId="47" borderId="0" xfId="0" applyFont="1" applyFill="1"/>
    <xf numFmtId="166" fontId="62" fillId="0" borderId="0" xfId="0" applyNumberFormat="1" applyFont="1" applyBorder="1"/>
    <xf numFmtId="166" fontId="0" fillId="0" borderId="0" xfId="0" applyNumberFormat="1" applyBorder="1"/>
    <xf numFmtId="166" fontId="0" fillId="0" borderId="46" xfId="0" applyNumberFormat="1" applyBorder="1"/>
    <xf numFmtId="167" fontId="44" fillId="38" borderId="0" xfId="0" applyNumberFormat="1" applyFont="1" applyFill="1"/>
    <xf numFmtId="170" fontId="0" fillId="0" borderId="0" xfId="0" applyNumberFormat="1" applyFill="1"/>
    <xf numFmtId="0" fontId="44" fillId="46" borderId="0" xfId="0" applyFont="1" applyFill="1"/>
    <xf numFmtId="0" fontId="55" fillId="46" borderId="0" xfId="0" applyFont="1" applyFill="1"/>
    <xf numFmtId="0" fontId="44" fillId="46" borderId="49" xfId="0" applyFont="1" applyFill="1" applyBorder="1"/>
    <xf numFmtId="0" fontId="0" fillId="0" borderId="0" xfId="0" quotePrefix="1"/>
    <xf numFmtId="0" fontId="0" fillId="0" borderId="0" xfId="0" quotePrefix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Alignment="1"/>
    <xf numFmtId="172" fontId="0" fillId="0" borderId="0" xfId="28" applyNumberFormat="1" applyFont="1"/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170" fontId="0" fillId="0" borderId="3" xfId="0" applyNumberFormat="1" applyFill="1" applyBorder="1"/>
    <xf numFmtId="164" fontId="50" fillId="0" borderId="46" xfId="0" applyNumberFormat="1" applyFont="1" applyBorder="1"/>
    <xf numFmtId="164" fontId="14" fillId="0" borderId="45" xfId="0" applyNumberFormat="1" applyFont="1" applyBorder="1"/>
    <xf numFmtId="164" fontId="14" fillId="0" borderId="68" xfId="0" applyNumberFormat="1" applyFont="1" applyBorder="1"/>
    <xf numFmtId="164" fontId="14" fillId="0" borderId="71" xfId="0" applyNumberFormat="1" applyFont="1" applyBorder="1"/>
    <xf numFmtId="164" fontId="50" fillId="0" borderId="68" xfId="0" applyNumberFormat="1" applyFont="1" applyBorder="1"/>
    <xf numFmtId="164" fontId="50" fillId="0" borderId="71" xfId="0" applyNumberFormat="1" applyFont="1" applyBorder="1"/>
    <xf numFmtId="164" fontId="14" fillId="0" borderId="40" xfId="0" applyNumberFormat="1" applyFont="1" applyBorder="1"/>
    <xf numFmtId="164" fontId="14" fillId="0" borderId="42" xfId="0" applyNumberFormat="1" applyFont="1" applyBorder="1"/>
    <xf numFmtId="164" fontId="50" fillId="0" borderId="42" xfId="0" applyNumberFormat="1" applyFont="1" applyBorder="1"/>
    <xf numFmtId="164" fontId="50" fillId="0" borderId="43" xfId="0" applyNumberFormat="1" applyFont="1" applyBorder="1"/>
    <xf numFmtId="164" fontId="50" fillId="0" borderId="25" xfId="0" applyNumberFormat="1" applyFont="1" applyBorder="1"/>
    <xf numFmtId="164" fontId="14" fillId="34" borderId="24" xfId="0" applyNumberFormat="1" applyFont="1" applyFill="1" applyBorder="1"/>
    <xf numFmtId="164" fontId="14" fillId="34" borderId="43" xfId="0" applyNumberFormat="1" applyFont="1" applyFill="1" applyBorder="1"/>
    <xf numFmtId="164" fontId="14" fillId="34" borderId="25" xfId="0" applyNumberFormat="1" applyFont="1" applyFill="1" applyBorder="1"/>
    <xf numFmtId="164" fontId="50" fillId="34" borderId="25" xfId="0" applyNumberFormat="1" applyFont="1" applyFill="1" applyBorder="1"/>
    <xf numFmtId="164" fontId="14" fillId="34" borderId="49" xfId="0" applyNumberFormat="1" applyFont="1" applyFill="1" applyBorder="1"/>
    <xf numFmtId="164" fontId="14" fillId="34" borderId="0" xfId="0" applyNumberFormat="1" applyFont="1" applyFill="1"/>
    <xf numFmtId="164" fontId="14" fillId="34" borderId="46" xfId="0" applyNumberFormat="1" applyFont="1" applyFill="1" applyBorder="1"/>
    <xf numFmtId="164" fontId="14" fillId="34" borderId="41" xfId="0" applyNumberFormat="1" applyFont="1" applyFill="1" applyBorder="1"/>
    <xf numFmtId="164" fontId="14" fillId="0" borderId="40" xfId="0" applyNumberFormat="1" applyFont="1" applyFill="1" applyBorder="1"/>
    <xf numFmtId="164" fontId="14" fillId="0" borderId="41" xfId="0" applyNumberFormat="1" applyFont="1" applyFill="1" applyBorder="1"/>
    <xf numFmtId="164" fontId="50" fillId="0" borderId="41" xfId="0" applyNumberFormat="1" applyFont="1" applyFill="1" applyBorder="1"/>
    <xf numFmtId="164" fontId="14" fillId="0" borderId="42" xfId="0" applyNumberFormat="1" applyFont="1" applyFill="1" applyBorder="1"/>
    <xf numFmtId="164" fontId="50" fillId="0" borderId="42" xfId="0" applyNumberFormat="1" applyFont="1" applyFill="1" applyBorder="1"/>
    <xf numFmtId="2" fontId="60" fillId="0" borderId="63" xfId="0" applyNumberFormat="1" applyFont="1" applyBorder="1" applyAlignment="1">
      <alignment horizontal="center" wrapText="1"/>
    </xf>
    <xf numFmtId="0" fontId="60" fillId="0" borderId="57" xfId="0" applyFont="1" applyBorder="1" applyAlignment="1">
      <alignment horizontal="center" wrapText="1"/>
    </xf>
    <xf numFmtId="170" fontId="60" fillId="0" borderId="54" xfId="0" applyNumberFormat="1" applyFont="1" applyBorder="1" applyAlignment="1">
      <alignment horizontal="right" wrapText="1"/>
    </xf>
    <xf numFmtId="170" fontId="60" fillId="0" borderId="57" xfId="0" applyNumberFormat="1" applyFont="1" applyBorder="1" applyAlignment="1">
      <alignment horizontal="right" wrapText="1"/>
    </xf>
    <xf numFmtId="170" fontId="60" fillId="0" borderId="54" xfId="0" applyNumberFormat="1" applyFont="1" applyFill="1" applyBorder="1" applyAlignment="1">
      <alignment horizontal="right" wrapText="1"/>
    </xf>
    <xf numFmtId="170" fontId="60" fillId="0" borderId="67" xfId="0" applyNumberFormat="1" applyFont="1" applyBorder="1" applyAlignment="1">
      <alignment horizontal="right" wrapText="1"/>
    </xf>
    <xf numFmtId="4" fontId="60" fillId="0" borderId="54" xfId="0" applyNumberFormat="1" applyFont="1" applyBorder="1" applyAlignment="1">
      <alignment horizontal="center" wrapText="1"/>
    </xf>
    <xf numFmtId="4" fontId="60" fillId="0" borderId="67" xfId="0" applyNumberFormat="1" applyFont="1" applyBorder="1" applyAlignment="1">
      <alignment horizontal="center" wrapText="1"/>
    </xf>
    <xf numFmtId="164" fontId="14" fillId="0" borderId="46" xfId="0" applyNumberFormat="1" applyFont="1" applyBorder="1" applyAlignment="1">
      <alignment horizontal="center"/>
    </xf>
    <xf numFmtId="164" fontId="50" fillId="0" borderId="46" xfId="0" applyNumberFormat="1" applyFont="1" applyBorder="1" applyAlignment="1">
      <alignment horizontal="center"/>
    </xf>
    <xf numFmtId="0" fontId="0" fillId="0" borderId="0" xfId="0"/>
    <xf numFmtId="165" fontId="60" fillId="0" borderId="54" xfId="0" applyNumberFormat="1" applyFont="1" applyBorder="1" applyAlignment="1">
      <alignment horizontal="center" wrapText="1"/>
    </xf>
    <xf numFmtId="0" fontId="41" fillId="0" borderId="0" xfId="0" applyFont="1" applyAlignment="1">
      <alignment horizontal="center"/>
    </xf>
    <xf numFmtId="0" fontId="0" fillId="0" borderId="0" xfId="0"/>
    <xf numFmtId="9" fontId="0" fillId="0" borderId="0" xfId="56" applyFont="1"/>
    <xf numFmtId="9" fontId="0" fillId="0" borderId="0" xfId="56" applyFont="1" applyFill="1" applyBorder="1"/>
    <xf numFmtId="9" fontId="75" fillId="0" borderId="0" xfId="56" applyFont="1" applyFill="1" applyBorder="1"/>
    <xf numFmtId="2" fontId="62" fillId="0" borderId="0" xfId="0" applyNumberFormat="1" applyFont="1"/>
    <xf numFmtId="2" fontId="62" fillId="0" borderId="0" xfId="0" applyNumberFormat="1" applyFont="1" applyFill="1"/>
    <xf numFmtId="2" fontId="60" fillId="0" borderId="54" xfId="0" applyNumberFormat="1" applyFont="1" applyBorder="1" applyAlignment="1">
      <alignment horizontal="right" wrapText="1"/>
    </xf>
    <xf numFmtId="2" fontId="60" fillId="0" borderId="67" xfId="0" applyNumberFormat="1" applyFont="1" applyBorder="1" applyAlignment="1">
      <alignment horizontal="right" wrapText="1"/>
    </xf>
    <xf numFmtId="0" fontId="0" fillId="0" borderId="0" xfId="0"/>
    <xf numFmtId="164" fontId="41" fillId="0" borderId="52" xfId="0" applyNumberFormat="1" applyFont="1" applyBorder="1"/>
    <xf numFmtId="166" fontId="41" fillId="0" borderId="52" xfId="0" applyNumberFormat="1" applyFont="1" applyBorder="1"/>
    <xf numFmtId="165" fontId="0" fillId="0" borderId="7" xfId="0" applyNumberFormat="1" applyBorder="1"/>
    <xf numFmtId="166" fontId="66" fillId="0" borderId="0" xfId="0" applyNumberFormat="1" applyFont="1" applyBorder="1"/>
    <xf numFmtId="164" fontId="3" fillId="0" borderId="3" xfId="0" applyNumberFormat="1" applyFont="1" applyBorder="1"/>
    <xf numFmtId="164" fontId="3" fillId="0" borderId="12" xfId="0" applyNumberFormat="1" applyFont="1" applyBorder="1"/>
    <xf numFmtId="166" fontId="3" fillId="0" borderId="3" xfId="0" applyNumberFormat="1" applyFont="1" applyBorder="1"/>
    <xf numFmtId="166" fontId="3" fillId="0" borderId="12" xfId="0" applyNumberFormat="1" applyFont="1" applyBorder="1"/>
    <xf numFmtId="0" fontId="41" fillId="0" borderId="0" xfId="0" applyFont="1" applyFill="1" applyAlignment="1">
      <alignment horizontal="center"/>
    </xf>
    <xf numFmtId="0" fontId="41" fillId="0" borderId="14" xfId="0" applyFont="1" applyBorder="1" applyAlignment="1">
      <alignment horizontal="center"/>
    </xf>
    <xf numFmtId="0" fontId="41" fillId="0" borderId="3" xfId="0" applyFont="1" applyBorder="1" applyAlignment="1">
      <alignment horizontal="center"/>
    </xf>
    <xf numFmtId="0" fontId="41" fillId="0" borderId="37" xfId="0" applyFont="1" applyBorder="1" applyAlignment="1">
      <alignment horizontal="center"/>
    </xf>
    <xf numFmtId="0" fontId="41" fillId="0" borderId="13" xfId="0" applyFont="1" applyBorder="1" applyAlignment="1">
      <alignment horizontal="center"/>
    </xf>
    <xf numFmtId="166" fontId="0" fillId="0" borderId="37" xfId="0" applyNumberFormat="1" applyBorder="1" applyAlignment="1">
      <alignment horizontal="center"/>
    </xf>
    <xf numFmtId="166" fontId="0" fillId="0" borderId="13" xfId="0" applyNumberFormat="1" applyBorder="1" applyAlignment="1">
      <alignment horizontal="center"/>
    </xf>
    <xf numFmtId="164" fontId="66" fillId="0" borderId="46" xfId="0" applyNumberFormat="1" applyFont="1" applyBorder="1"/>
    <xf numFmtId="169" fontId="60" fillId="0" borderId="54" xfId="0" applyNumberFormat="1" applyFont="1" applyBorder="1" applyAlignment="1">
      <alignment horizontal="center" wrapText="1"/>
    </xf>
    <xf numFmtId="0" fontId="0" fillId="0" borderId="0" xfId="0" applyFill="1" applyAlignment="1">
      <alignment horizontal="center"/>
    </xf>
    <xf numFmtId="167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14" fillId="0" borderId="0" xfId="0" applyNumberFormat="1" applyFont="1" applyFill="1"/>
    <xf numFmtId="164" fontId="0" fillId="36" borderId="0" xfId="0" applyNumberFormat="1" applyFill="1" applyAlignment="1">
      <alignment horizontal="center"/>
    </xf>
    <xf numFmtId="164" fontId="50" fillId="0" borderId="0" xfId="0" applyNumberFormat="1" applyFont="1" applyFill="1"/>
    <xf numFmtId="164" fontId="50" fillId="0" borderId="43" xfId="0" applyNumberFormat="1" applyFont="1" applyFill="1" applyBorder="1"/>
    <xf numFmtId="164" fontId="14" fillId="0" borderId="43" xfId="0" applyNumberFormat="1" applyFont="1" applyFill="1" applyBorder="1"/>
    <xf numFmtId="0" fontId="0" fillId="0" borderId="0" xfId="0"/>
    <xf numFmtId="0" fontId="44" fillId="0" borderId="0" xfId="0" applyFont="1"/>
    <xf numFmtId="0" fontId="44" fillId="0" borderId="18" xfId="0" applyFont="1" applyBorder="1" applyAlignment="1">
      <alignment horizontal="center" vertical="center"/>
    </xf>
    <xf numFmtId="0" fontId="44" fillId="0" borderId="31" xfId="0" applyFont="1" applyBorder="1"/>
    <xf numFmtId="0" fontId="53" fillId="0" borderId="0" xfId="0" applyFont="1"/>
    <xf numFmtId="0" fontId="54" fillId="35" borderId="49" xfId="0" applyFont="1" applyFill="1" applyBorder="1"/>
    <xf numFmtId="0" fontId="54" fillId="35" borderId="0" xfId="0" applyFont="1" applyFill="1"/>
    <xf numFmtId="0" fontId="55" fillId="0" borderId="30" xfId="0" applyFont="1" applyBorder="1" applyAlignment="1">
      <alignment horizontal="center" vertical="center"/>
    </xf>
    <xf numFmtId="3" fontId="55" fillId="0" borderId="31" xfId="0" applyNumberFormat="1" applyFont="1" applyBorder="1" applyAlignment="1">
      <alignment horizontal="center" vertical="center" wrapText="1"/>
    </xf>
    <xf numFmtId="3" fontId="56" fillId="0" borderId="41" xfId="0" applyNumberFormat="1" applyFont="1" applyBorder="1" applyAlignment="1">
      <alignment horizontal="center" vertical="center" wrapText="1"/>
    </xf>
    <xf numFmtId="3" fontId="55" fillId="0" borderId="32" xfId="0" applyNumberFormat="1" applyFont="1" applyBorder="1" applyAlignment="1">
      <alignment horizontal="center" vertical="center" wrapText="1"/>
    </xf>
    <xf numFmtId="0" fontId="54" fillId="35" borderId="50" xfId="0" applyFont="1" applyFill="1" applyBorder="1"/>
    <xf numFmtId="3" fontId="54" fillId="35" borderId="0" xfId="0" applyNumberFormat="1" applyFont="1" applyFill="1" applyAlignment="1">
      <alignment horizontal="center" vertical="center"/>
    </xf>
    <xf numFmtId="0" fontId="44" fillId="0" borderId="0" xfId="0" applyFont="1" applyAlignment="1">
      <alignment vertical="center"/>
    </xf>
    <xf numFmtId="0" fontId="55" fillId="0" borderId="51" xfId="0" applyFont="1" applyBorder="1" applyAlignment="1">
      <alignment horizontal="center"/>
    </xf>
    <xf numFmtId="3" fontId="55" fillId="0" borderId="52" xfId="0" applyNumberFormat="1" applyFont="1" applyBorder="1" applyAlignment="1">
      <alignment horizontal="center" vertical="center" wrapText="1"/>
    </xf>
    <xf numFmtId="3" fontId="55" fillId="0" borderId="52" xfId="0" applyNumberFormat="1" applyFont="1" applyBorder="1" applyAlignment="1">
      <alignment horizontal="center" wrapText="1"/>
    </xf>
    <xf numFmtId="3" fontId="55" fillId="0" borderId="53" xfId="0" applyNumberFormat="1" applyFont="1" applyBorder="1" applyAlignment="1">
      <alignment horizontal="center" wrapText="1"/>
    </xf>
    <xf numFmtId="0" fontId="55" fillId="0" borderId="21" xfId="0" applyFont="1" applyBorder="1" applyAlignment="1">
      <alignment horizontal="center"/>
    </xf>
    <xf numFmtId="3" fontId="55" fillId="35" borderId="0" xfId="0" applyNumberFormat="1" applyFont="1" applyFill="1" applyAlignment="1">
      <alignment horizontal="right"/>
    </xf>
    <xf numFmtId="0" fontId="55" fillId="0" borderId="11" xfId="0" applyFont="1" applyBorder="1" applyAlignment="1">
      <alignment horizontal="center"/>
    </xf>
    <xf numFmtId="0" fontId="55" fillId="0" borderId="17" xfId="0" applyFont="1" applyBorder="1" applyAlignment="1">
      <alignment horizontal="center"/>
    </xf>
    <xf numFmtId="0" fontId="55" fillId="0" borderId="30" xfId="0" applyFont="1" applyBorder="1" applyAlignment="1">
      <alignment horizontal="center"/>
    </xf>
    <xf numFmtId="3" fontId="44" fillId="0" borderId="31" xfId="0" applyNumberFormat="1" applyFont="1" applyBorder="1"/>
    <xf numFmtId="3" fontId="44" fillId="0" borderId="32" xfId="0" applyNumberFormat="1" applyFont="1" applyBorder="1" applyAlignment="1">
      <alignment horizontal="right"/>
    </xf>
    <xf numFmtId="3" fontId="55" fillId="35" borderId="5" xfId="0" applyNumberFormat="1" applyFont="1" applyFill="1" applyBorder="1" applyAlignment="1">
      <alignment horizontal="right"/>
    </xf>
    <xf numFmtId="3" fontId="44" fillId="0" borderId="31" xfId="0" applyNumberFormat="1" applyFont="1" applyBorder="1" applyAlignment="1">
      <alignment horizontal="right"/>
    </xf>
    <xf numFmtId="3" fontId="55" fillId="0" borderId="31" xfId="0" applyNumberFormat="1" applyFont="1" applyBorder="1" applyAlignment="1">
      <alignment horizontal="right"/>
    </xf>
    <xf numFmtId="4" fontId="55" fillId="0" borderId="31" xfId="0" applyNumberFormat="1" applyFont="1" applyBorder="1" applyAlignment="1">
      <alignment horizontal="right"/>
    </xf>
    <xf numFmtId="0" fontId="55" fillId="0" borderId="0" xfId="0" applyFont="1" applyAlignment="1">
      <alignment horizontal="center"/>
    </xf>
    <xf numFmtId="3" fontId="44" fillId="0" borderId="0" xfId="0" applyNumberFormat="1" applyFont="1"/>
    <xf numFmtId="3" fontId="44" fillId="0" borderId="0" xfId="0" applyNumberFormat="1" applyFont="1" applyAlignment="1">
      <alignment horizontal="right"/>
    </xf>
    <xf numFmtId="0" fontId="55" fillId="0" borderId="0" xfId="0" applyFont="1"/>
    <xf numFmtId="0" fontId="44" fillId="0" borderId="0" xfId="0" applyFont="1" applyAlignment="1">
      <alignment horizontal="center"/>
    </xf>
    <xf numFmtId="3" fontId="54" fillId="0" borderId="0" xfId="0" applyNumberFormat="1" applyFont="1" applyAlignment="1">
      <alignment horizontal="right"/>
    </xf>
    <xf numFmtId="0" fontId="54" fillId="0" borderId="51" xfId="0" applyFont="1" applyBorder="1" applyAlignment="1">
      <alignment horizontal="center" vertical="center"/>
    </xf>
    <xf numFmtId="0" fontId="44" fillId="0" borderId="52" xfId="0" applyFont="1" applyBorder="1" applyAlignment="1">
      <alignment horizontal="center" vertical="center" wrapText="1"/>
    </xf>
    <xf numFmtId="0" fontId="44" fillId="0" borderId="53" xfId="0" applyFont="1" applyBorder="1" applyAlignment="1">
      <alignment horizontal="center" vertical="center" wrapText="1"/>
    </xf>
    <xf numFmtId="3" fontId="44" fillId="0" borderId="0" xfId="0" applyNumberFormat="1" applyFont="1" applyAlignment="1">
      <alignment horizontal="right" vertical="center"/>
    </xf>
    <xf numFmtId="0" fontId="54" fillId="0" borderId="21" xfId="0" applyFont="1" applyBorder="1" applyAlignment="1">
      <alignment wrapText="1"/>
    </xf>
    <xf numFmtId="0" fontId="44" fillId="0" borderId="11" xfId="0" applyFont="1" applyBorder="1" applyAlignment="1">
      <alignment horizontal="center"/>
    </xf>
    <xf numFmtId="0" fontId="44" fillId="0" borderId="17" xfId="0" applyFont="1" applyBorder="1" applyAlignment="1">
      <alignment horizontal="center"/>
    </xf>
    <xf numFmtId="0" fontId="44" fillId="0" borderId="31" xfId="0" applyFont="1" applyBorder="1" applyAlignment="1">
      <alignment horizontal="center"/>
    </xf>
    <xf numFmtId="0" fontId="44" fillId="0" borderId="32" xfId="0" applyFont="1" applyBorder="1" applyAlignment="1">
      <alignment horizontal="center"/>
    </xf>
    <xf numFmtId="0" fontId="55" fillId="0" borderId="30" xfId="0" applyFont="1" applyBorder="1"/>
    <xf numFmtId="1" fontId="44" fillId="0" borderId="0" xfId="0" applyNumberFormat="1" applyFont="1" applyAlignment="1">
      <alignment horizontal="center"/>
    </xf>
    <xf numFmtId="3" fontId="44" fillId="0" borderId="0" xfId="0" applyNumberFormat="1" applyFont="1" applyAlignment="1">
      <alignment horizontal="center"/>
    </xf>
    <xf numFmtId="0" fontId="55" fillId="0" borderId="51" xfId="0" applyFont="1" applyBorder="1" applyAlignment="1">
      <alignment horizontal="center" vertical="center"/>
    </xf>
    <xf numFmtId="0" fontId="54" fillId="0" borderId="10" xfId="0" applyFont="1" applyBorder="1" applyAlignment="1">
      <alignment wrapText="1"/>
    </xf>
    <xf numFmtId="0" fontId="44" fillId="0" borderId="28" xfId="0" applyFont="1" applyBorder="1" applyAlignment="1">
      <alignment horizontal="center" wrapText="1"/>
    </xf>
    <xf numFmtId="0" fontId="44" fillId="0" borderId="29" xfId="0" applyFont="1" applyBorder="1" applyAlignment="1">
      <alignment horizontal="center" wrapText="1"/>
    </xf>
    <xf numFmtId="0" fontId="44" fillId="0" borderId="11" xfId="0" applyFont="1" applyBorder="1"/>
    <xf numFmtId="0" fontId="44" fillId="0" borderId="17" xfId="0" applyFont="1" applyBorder="1"/>
    <xf numFmtId="0" fontId="44" fillId="0" borderId="30" xfId="0" applyFont="1" applyBorder="1"/>
    <xf numFmtId="3" fontId="55" fillId="0" borderId="0" xfId="0" applyNumberFormat="1" applyFont="1" applyAlignment="1">
      <alignment horizontal="left"/>
    </xf>
    <xf numFmtId="171" fontId="44" fillId="0" borderId="0" xfId="28" applyNumberFormat="1" applyFont="1" applyAlignment="1">
      <alignment horizontal="right"/>
    </xf>
    <xf numFmtId="0" fontId="44" fillId="0" borderId="54" xfId="0" applyFont="1" applyBorder="1"/>
    <xf numFmtId="0" fontId="44" fillId="0" borderId="24" xfId="0" applyFont="1" applyBorder="1"/>
    <xf numFmtId="0" fontId="53" fillId="0" borderId="49" xfId="0" applyFont="1" applyBorder="1" applyAlignment="1">
      <alignment horizontal="center"/>
    </xf>
    <xf numFmtId="0" fontId="44" fillId="0" borderId="40" xfId="0" applyFont="1" applyBorder="1" applyAlignment="1">
      <alignment horizontal="center" wrapText="1"/>
    </xf>
    <xf numFmtId="0" fontId="44" fillId="0" borderId="42" xfId="0" applyFont="1" applyBorder="1" applyAlignment="1">
      <alignment horizontal="center"/>
    </xf>
    <xf numFmtId="0" fontId="44" fillId="0" borderId="49" xfId="0" applyFont="1" applyBorder="1" applyAlignment="1">
      <alignment horizontal="center"/>
    </xf>
    <xf numFmtId="164" fontId="44" fillId="0" borderId="46" xfId="0" applyNumberFormat="1" applyFont="1" applyBorder="1" applyAlignment="1">
      <alignment horizontal="center"/>
    </xf>
    <xf numFmtId="164" fontId="44" fillId="0" borderId="49" xfId="0" applyNumberFormat="1" applyFont="1" applyBorder="1" applyAlignment="1">
      <alignment horizontal="center"/>
    </xf>
    <xf numFmtId="0" fontId="44" fillId="0" borderId="40" xfId="0" applyFont="1" applyBorder="1" applyAlignment="1">
      <alignment horizontal="center"/>
    </xf>
    <xf numFmtId="164" fontId="44" fillId="0" borderId="42" xfId="0" applyNumberFormat="1" applyFont="1" applyBorder="1" applyAlignment="1">
      <alignment horizontal="center"/>
    </xf>
    <xf numFmtId="166" fontId="44" fillId="0" borderId="40" xfId="0" applyNumberFormat="1" applyFont="1" applyBorder="1" applyAlignment="1">
      <alignment horizontal="center"/>
    </xf>
    <xf numFmtId="0" fontId="44" fillId="35" borderId="49" xfId="0" applyFont="1" applyFill="1" applyBorder="1" applyAlignment="1">
      <alignment horizontal="center"/>
    </xf>
    <xf numFmtId="0" fontId="44" fillId="0" borderId="49" xfId="0" quotePrefix="1" applyFont="1" applyBorder="1" applyAlignment="1">
      <alignment horizontal="center"/>
    </xf>
    <xf numFmtId="164" fontId="44" fillId="0" borderId="46" xfId="0" quotePrefix="1" applyNumberFormat="1" applyFont="1" applyBorder="1" applyAlignment="1">
      <alignment horizontal="center"/>
    </xf>
    <xf numFmtId="171" fontId="44" fillId="0" borderId="0" xfId="28" applyNumberFormat="1" applyFont="1"/>
    <xf numFmtId="0" fontId="44" fillId="0" borderId="26" xfId="0" applyFont="1" applyBorder="1" applyAlignment="1">
      <alignment horizontal="center" wrapText="1"/>
    </xf>
    <xf numFmtId="0" fontId="44" fillId="0" borderId="27" xfId="0" applyFont="1" applyBorder="1" applyAlignment="1">
      <alignment horizontal="center" wrapText="1"/>
    </xf>
    <xf numFmtId="0" fontId="44" fillId="0" borderId="50" xfId="0" applyFont="1" applyBorder="1" applyAlignment="1">
      <alignment horizontal="center" wrapText="1"/>
    </xf>
    <xf numFmtId="0" fontId="44" fillId="0" borderId="0" xfId="0" applyFont="1" applyAlignment="1">
      <alignment wrapText="1"/>
    </xf>
    <xf numFmtId="0" fontId="53" fillId="0" borderId="0" xfId="0" applyFont="1" applyAlignment="1">
      <alignment horizontal="center"/>
    </xf>
    <xf numFmtId="0" fontId="57" fillId="0" borderId="0" xfId="0" applyFont="1"/>
    <xf numFmtId="9" fontId="44" fillId="0" borderId="0" xfId="0" applyNumberFormat="1" applyFont="1"/>
    <xf numFmtId="0" fontId="44" fillId="35" borderId="0" xfId="0" applyFont="1" applyFill="1"/>
    <xf numFmtId="0" fontId="44" fillId="0" borderId="0" xfId="0" applyFont="1" applyAlignment="1">
      <alignment horizontal="right"/>
    </xf>
    <xf numFmtId="14" fontId="44" fillId="0" borderId="0" xfId="0" applyNumberFormat="1" applyFont="1"/>
    <xf numFmtId="0" fontId="44" fillId="0" borderId="10" xfId="0" applyFont="1" applyBorder="1" applyAlignment="1">
      <alignment horizontal="center"/>
    </xf>
    <xf numFmtId="0" fontId="55" fillId="0" borderId="10" xfId="0" applyFont="1" applyBorder="1" applyAlignment="1">
      <alignment horizontal="center"/>
    </xf>
    <xf numFmtId="3" fontId="55" fillId="35" borderId="29" xfId="0" applyNumberFormat="1" applyFont="1" applyFill="1" applyBorder="1" applyAlignment="1">
      <alignment horizontal="right"/>
    </xf>
    <xf numFmtId="3" fontId="55" fillId="35" borderId="12" xfId="0" applyNumberFormat="1" applyFont="1" applyFill="1" applyBorder="1" applyAlignment="1">
      <alignment horizontal="right"/>
    </xf>
    <xf numFmtId="3" fontId="55" fillId="35" borderId="19" xfId="0" applyNumberFormat="1" applyFont="1" applyFill="1" applyBorder="1" applyAlignment="1">
      <alignment horizontal="right"/>
    </xf>
    <xf numFmtId="0" fontId="44" fillId="0" borderId="49" xfId="0" applyFont="1" applyBorder="1" applyAlignment="1">
      <alignment horizontal="center" vertical="center" wrapText="1"/>
    </xf>
    <xf numFmtId="0" fontId="44" fillId="0" borderId="50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/>
    </xf>
    <xf numFmtId="0" fontId="44" fillId="0" borderId="96" xfId="0" applyFont="1" applyBorder="1" applyAlignment="1">
      <alignment horizontal="center" vertical="center"/>
    </xf>
    <xf numFmtId="0" fontId="44" fillId="0" borderId="96" xfId="0" applyFont="1" applyBorder="1" applyAlignment="1">
      <alignment horizontal="center"/>
    </xf>
    <xf numFmtId="0" fontId="44" fillId="0" borderId="37" xfId="0" applyFont="1" applyBorder="1" applyAlignment="1">
      <alignment horizontal="center" vertical="center"/>
    </xf>
    <xf numFmtId="0" fontId="44" fillId="0" borderId="11" xfId="0" applyFont="1" applyBorder="1" applyAlignment="1">
      <alignment horizontal="center" vertical="center"/>
    </xf>
    <xf numFmtId="0" fontId="44" fillId="0" borderId="77" xfId="0" applyFont="1" applyBorder="1" applyAlignment="1">
      <alignment horizontal="center" vertical="center"/>
    </xf>
    <xf numFmtId="0" fontId="44" fillId="0" borderId="21" xfId="0" applyFont="1" applyBorder="1" applyAlignment="1">
      <alignment horizontal="center" vertical="center"/>
    </xf>
    <xf numFmtId="0" fontId="44" fillId="0" borderId="13" xfId="0" applyFont="1" applyBorder="1" applyAlignment="1">
      <alignment horizontal="center" vertical="center"/>
    </xf>
    <xf numFmtId="0" fontId="44" fillId="0" borderId="15" xfId="0" applyFont="1" applyBorder="1" applyAlignment="1">
      <alignment horizontal="center" vertical="center"/>
    </xf>
    <xf numFmtId="0" fontId="44" fillId="0" borderId="13" xfId="0" applyFont="1" applyBorder="1" applyAlignment="1">
      <alignment horizontal="center"/>
    </xf>
    <xf numFmtId="0" fontId="44" fillId="0" borderId="3" xfId="0" applyFont="1" applyBorder="1" applyAlignment="1">
      <alignment horizontal="center" vertical="center"/>
    </xf>
    <xf numFmtId="0" fontId="44" fillId="0" borderId="78" xfId="0" applyFont="1" applyBorder="1" applyAlignment="1">
      <alignment horizontal="center" vertical="center"/>
    </xf>
    <xf numFmtId="0" fontId="44" fillId="0" borderId="26" xfId="0" applyFont="1" applyBorder="1" applyAlignment="1">
      <alignment horizontal="center" vertical="center"/>
    </xf>
    <xf numFmtId="0" fontId="44" fillId="0" borderId="79" xfId="0" applyFont="1" applyBorder="1" applyAlignment="1">
      <alignment horizontal="center" vertical="center"/>
    </xf>
    <xf numFmtId="0" fontId="44" fillId="0" borderId="74" xfId="0" applyFont="1" applyBorder="1" applyAlignment="1">
      <alignment horizontal="center"/>
    </xf>
    <xf numFmtId="0" fontId="44" fillId="0" borderId="20" xfId="0" applyFont="1" applyBorder="1" applyAlignment="1">
      <alignment horizontal="center"/>
    </xf>
    <xf numFmtId="9" fontId="44" fillId="0" borderId="0" xfId="56" applyFont="1"/>
    <xf numFmtId="0" fontId="44" fillId="0" borderId="20" xfId="0" applyFont="1" applyBorder="1" applyAlignment="1">
      <alignment horizontal="center" vertical="center"/>
    </xf>
    <xf numFmtId="0" fontId="44" fillId="0" borderId="17" xfId="0" applyFont="1" applyBorder="1" applyAlignment="1">
      <alignment horizontal="center" vertical="center"/>
    </xf>
    <xf numFmtId="0" fontId="44" fillId="0" borderId="75" xfId="0" applyFont="1" applyBorder="1" applyAlignment="1">
      <alignment horizontal="center" vertical="center"/>
    </xf>
    <xf numFmtId="0" fontId="44" fillId="0" borderId="76" xfId="0" applyFont="1" applyBorder="1" applyAlignment="1">
      <alignment horizontal="center"/>
    </xf>
    <xf numFmtId="0" fontId="44" fillId="0" borderId="12" xfId="0" applyFont="1" applyBorder="1" applyAlignment="1">
      <alignment horizontal="center"/>
    </xf>
    <xf numFmtId="0" fontId="44" fillId="0" borderId="29" xfId="0" applyFont="1" applyBorder="1" applyAlignment="1">
      <alignment horizontal="center"/>
    </xf>
    <xf numFmtId="2" fontId="44" fillId="0" borderId="15" xfId="0" applyNumberFormat="1" applyFont="1" applyBorder="1" applyAlignment="1">
      <alignment horizontal="center" vertical="center"/>
    </xf>
    <xf numFmtId="2" fontId="44" fillId="0" borderId="13" xfId="0" applyNumberFormat="1" applyFont="1" applyBorder="1" applyAlignment="1">
      <alignment horizontal="center" vertical="center"/>
    </xf>
    <xf numFmtId="0" fontId="44" fillId="0" borderId="19" xfId="0" applyFont="1" applyBorder="1" applyAlignment="1">
      <alignment horizontal="center"/>
    </xf>
    <xf numFmtId="2" fontId="44" fillId="0" borderId="20" xfId="0" applyNumberFormat="1" applyFont="1" applyBorder="1" applyAlignment="1">
      <alignment horizontal="center" vertical="center"/>
    </xf>
    <xf numFmtId="0" fontId="44" fillId="0" borderId="76" xfId="0" applyFont="1" applyBorder="1" applyAlignment="1">
      <alignment horizontal="center" vertical="center"/>
    </xf>
    <xf numFmtId="166" fontId="44" fillId="0" borderId="49" xfId="0" applyNumberFormat="1" applyFont="1" applyBorder="1" applyAlignment="1">
      <alignment horizontal="center"/>
    </xf>
    <xf numFmtId="0" fontId="44" fillId="0" borderId="10" xfId="0" applyFont="1" applyBorder="1" applyAlignment="1">
      <alignment horizontal="center" vertical="center"/>
    </xf>
    <xf numFmtId="171" fontId="55" fillId="35" borderId="31" xfId="28" applyNumberFormat="1" applyFont="1" applyFill="1" applyBorder="1"/>
    <xf numFmtId="3" fontId="55" fillId="35" borderId="31" xfId="0" applyNumberFormat="1" applyFont="1" applyFill="1" applyBorder="1" applyAlignment="1">
      <alignment horizontal="right"/>
    </xf>
    <xf numFmtId="0" fontId="44" fillId="35" borderId="31" xfId="0" applyFont="1" applyFill="1" applyBorder="1"/>
    <xf numFmtId="0" fontId="82" fillId="0" borderId="3" xfId="0" applyFont="1" applyBorder="1" applyAlignment="1">
      <alignment horizontal="center"/>
    </xf>
    <xf numFmtId="0" fontId="82" fillId="0" borderId="26" xfId="0" applyFont="1" applyBorder="1" applyAlignment="1">
      <alignment horizontal="center"/>
    </xf>
    <xf numFmtId="0" fontId="82" fillId="0" borderId="26" xfId="0" applyFont="1" applyBorder="1" applyAlignment="1">
      <alignment horizontal="center" vertical="center"/>
    </xf>
    <xf numFmtId="0" fontId="82" fillId="0" borderId="3" xfId="0" applyFont="1" applyBorder="1" applyAlignment="1">
      <alignment horizontal="center" vertical="center"/>
    </xf>
    <xf numFmtId="0" fontId="83" fillId="42" borderId="7" xfId="0" applyFont="1" applyFill="1" applyBorder="1" applyAlignment="1">
      <alignment horizontal="center" vertical="center"/>
    </xf>
    <xf numFmtId="0" fontId="83" fillId="42" borderId="9" xfId="0" applyFont="1" applyFill="1" applyBorder="1" applyAlignment="1">
      <alignment horizontal="center" vertical="center"/>
    </xf>
    <xf numFmtId="0" fontId="83" fillId="42" borderId="3" xfId="0" applyFont="1" applyFill="1" applyBorder="1" applyAlignment="1">
      <alignment horizontal="center"/>
    </xf>
    <xf numFmtId="0" fontId="83" fillId="42" borderId="12" xfId="0" applyFont="1" applyFill="1" applyBorder="1" applyAlignment="1">
      <alignment horizontal="center"/>
    </xf>
    <xf numFmtId="0" fontId="44" fillId="0" borderId="30" xfId="0" applyFont="1" applyBorder="1" applyAlignment="1">
      <alignment horizontal="center"/>
    </xf>
    <xf numFmtId="0" fontId="82" fillId="0" borderId="31" xfId="0" applyFont="1" applyBorder="1" applyAlignment="1">
      <alignment horizontal="center"/>
    </xf>
    <xf numFmtId="0" fontId="83" fillId="42" borderId="54" xfId="0" applyFont="1" applyFill="1" applyBorder="1" applyAlignment="1">
      <alignment horizontal="center" vertical="center"/>
    </xf>
    <xf numFmtId="0" fontId="83" fillId="42" borderId="39" xfId="0" applyFont="1" applyFill="1" applyBorder="1" applyAlignment="1">
      <alignment horizontal="center" vertical="center"/>
    </xf>
    <xf numFmtId="0" fontId="44" fillId="0" borderId="51" xfId="0" applyFont="1" applyBorder="1" applyAlignment="1">
      <alignment horizontal="center"/>
    </xf>
    <xf numFmtId="0" fontId="44" fillId="0" borderId="52" xfId="0" applyFont="1" applyBorder="1" applyAlignment="1">
      <alignment horizontal="center"/>
    </xf>
    <xf numFmtId="0" fontId="44" fillId="0" borderId="53" xfId="0" applyFont="1" applyBorder="1" applyAlignment="1">
      <alignment horizontal="center"/>
    </xf>
    <xf numFmtId="2" fontId="44" fillId="0" borderId="52" xfId="0" applyNumberFormat="1" applyFont="1" applyBorder="1" applyAlignment="1">
      <alignment horizontal="center"/>
    </xf>
    <xf numFmtId="3" fontId="62" fillId="38" borderId="0" xfId="0" applyNumberFormat="1" applyFont="1" applyFill="1"/>
    <xf numFmtId="0" fontId="82" fillId="0" borderId="7" xfId="0" applyFont="1" applyBorder="1" applyAlignment="1">
      <alignment horizontal="center"/>
    </xf>
    <xf numFmtId="3" fontId="68" fillId="0" borderId="0" xfId="0" applyNumberFormat="1" applyFont="1"/>
    <xf numFmtId="0" fontId="0" fillId="0" borderId="0" xfId="0"/>
    <xf numFmtId="0" fontId="61" fillId="0" borderId="0" xfId="0" applyFont="1" applyAlignment="1">
      <alignment vertical="center"/>
    </xf>
    <xf numFmtId="0" fontId="64" fillId="0" borderId="0" xfId="0" applyFont="1" applyAlignment="1">
      <alignment vertical="center"/>
    </xf>
    <xf numFmtId="14" fontId="65" fillId="0" borderId="0" xfId="0" applyNumberFormat="1" applyFont="1" applyAlignment="1">
      <alignment horizontal="right" vertical="center" wrapText="1"/>
    </xf>
    <xf numFmtId="0" fontId="65" fillId="0" borderId="0" xfId="0" applyFont="1" applyAlignment="1">
      <alignment horizontal="right" vertical="center" wrapText="1"/>
    </xf>
    <xf numFmtId="0" fontId="65" fillId="0" borderId="0" xfId="0" applyFont="1" applyAlignment="1">
      <alignment vertical="center" wrapText="1"/>
    </xf>
    <xf numFmtId="4" fontId="65" fillId="0" borderId="0" xfId="0" applyNumberFormat="1" applyFont="1" applyAlignment="1">
      <alignment horizontal="right" vertical="center" wrapText="1"/>
    </xf>
    <xf numFmtId="14" fontId="47" fillId="0" borderId="0" xfId="0" applyNumberFormat="1" applyFont="1" applyAlignment="1">
      <alignment horizontal="right" vertical="center"/>
    </xf>
    <xf numFmtId="0" fontId="47" fillId="0" borderId="0" xfId="0" applyFont="1" applyAlignment="1">
      <alignment horizontal="right" vertical="center"/>
    </xf>
    <xf numFmtId="0" fontId="47" fillId="0" borderId="0" xfId="0" applyFont="1" applyAlignment="1">
      <alignment vertical="center"/>
    </xf>
    <xf numFmtId="4" fontId="47" fillId="0" borderId="0" xfId="0" applyNumberFormat="1" applyFont="1" applyAlignment="1">
      <alignment horizontal="right" vertical="center"/>
    </xf>
    <xf numFmtId="0" fontId="0" fillId="0" borderId="0" xfId="0"/>
    <xf numFmtId="0" fontId="0" fillId="0" borderId="26" xfId="0" applyBorder="1"/>
    <xf numFmtId="0" fontId="0" fillId="0" borderId="78" xfId="0" applyBorder="1"/>
    <xf numFmtId="0" fontId="0" fillId="0" borderId="77" xfId="0" applyBorder="1"/>
    <xf numFmtId="0" fontId="0" fillId="0" borderId="79" xfId="0" applyBorder="1"/>
    <xf numFmtId="0" fontId="0" fillId="0" borderId="37" xfId="0" applyBorder="1"/>
    <xf numFmtId="0" fontId="0" fillId="0" borderId="123" xfId="0" applyBorder="1"/>
    <xf numFmtId="0" fontId="0" fillId="0" borderId="112" xfId="0" applyBorder="1"/>
    <xf numFmtId="0" fontId="0" fillId="38" borderId="3" xfId="0" applyFill="1" applyBorder="1"/>
    <xf numFmtId="0" fontId="0" fillId="38" borderId="39" xfId="0" applyFill="1" applyBorder="1"/>
    <xf numFmtId="0" fontId="3" fillId="0" borderId="0" xfId="0" applyFont="1" applyAlignment="1">
      <alignment horizontal="center"/>
    </xf>
    <xf numFmtId="0" fontId="0" fillId="0" borderId="0" xfId="0"/>
    <xf numFmtId="169" fontId="41" fillId="0" borderId="3" xfId="0" applyNumberFormat="1" applyFont="1" applyBorder="1" applyAlignment="1">
      <alignment horizontal="right"/>
    </xf>
    <xf numFmtId="169" fontId="0" fillId="0" borderId="3" xfId="0" applyNumberFormat="1" applyBorder="1" applyAlignment="1">
      <alignment horizontal="right"/>
    </xf>
    <xf numFmtId="169" fontId="0" fillId="0" borderId="39" xfId="0" applyNumberFormat="1" applyBorder="1" applyAlignment="1">
      <alignment horizontal="right"/>
    </xf>
    <xf numFmtId="169" fontId="41" fillId="0" borderId="52" xfId="0" applyNumberFormat="1" applyFont="1" applyBorder="1" applyAlignment="1">
      <alignment horizontal="right"/>
    </xf>
    <xf numFmtId="171" fontId="58" fillId="0" borderId="54" xfId="28" applyNumberFormat="1" applyFont="1" applyFill="1" applyBorder="1" applyAlignment="1">
      <alignment horizontal="center" wrapText="1"/>
    </xf>
    <xf numFmtId="0" fontId="3" fillId="0" borderId="0" xfId="53" applyFont="1" applyFill="1" applyBorder="1"/>
    <xf numFmtId="0" fontId="4" fillId="0" borderId="0" xfId="53" applyFont="1" applyFill="1" applyBorder="1"/>
    <xf numFmtId="0" fontId="4" fillId="0" borderId="0" xfId="53" applyFont="1" applyFill="1" applyBorder="1" applyAlignment="1">
      <alignment horizontal="center"/>
    </xf>
    <xf numFmtId="14" fontId="4" fillId="0" borderId="0" xfId="53" applyNumberFormat="1" applyFont="1" applyFill="1" applyBorder="1" applyAlignment="1">
      <alignment horizontal="center"/>
    </xf>
    <xf numFmtId="0" fontId="4" fillId="0" borderId="0" xfId="53" applyFont="1" applyFill="1" applyBorder="1" applyAlignment="1">
      <alignment horizontal="right"/>
    </xf>
    <xf numFmtId="0" fontId="0" fillId="0" borderId="0" xfId="0" applyBorder="1"/>
    <xf numFmtId="0" fontId="21" fillId="0" borderId="0" xfId="53" applyFill="1" applyBorder="1"/>
    <xf numFmtId="0" fontId="21" fillId="0" borderId="0" xfId="53" applyFill="1" applyBorder="1" applyAlignment="1">
      <alignment horizontal="center"/>
    </xf>
    <xf numFmtId="14" fontId="21" fillId="0" borderId="0" xfId="53" applyNumberFormat="1" applyFill="1" applyBorder="1" applyAlignment="1">
      <alignment horizontal="center"/>
    </xf>
    <xf numFmtId="0" fontId="50" fillId="0" borderId="0" xfId="0" applyFont="1" applyBorder="1"/>
    <xf numFmtId="164" fontId="50" fillId="34" borderId="0" xfId="0" applyNumberFormat="1" applyFont="1" applyFill="1" applyBorder="1"/>
    <xf numFmtId="164" fontId="50" fillId="0" borderId="0" xfId="0" applyNumberFormat="1" applyFont="1" applyBorder="1"/>
    <xf numFmtId="164" fontId="14" fillId="34" borderId="0" xfId="0" applyNumberFormat="1" applyFont="1" applyFill="1" applyBorder="1"/>
    <xf numFmtId="164" fontId="14" fillId="0" borderId="0" xfId="0" applyNumberFormat="1" applyFont="1" applyFill="1" applyBorder="1"/>
    <xf numFmtId="164" fontId="14" fillId="34" borderId="0" xfId="0" quotePrefix="1" applyNumberFormat="1" applyFont="1" applyFill="1" applyBorder="1"/>
    <xf numFmtId="164" fontId="14" fillId="0" borderId="0" xfId="0" applyNumberFormat="1" applyFont="1" applyBorder="1"/>
    <xf numFmtId="0" fontId="0" fillId="0" borderId="38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60" fillId="0" borderId="38" xfId="0" applyFont="1" applyFill="1" applyBorder="1"/>
    <xf numFmtId="0" fontId="60" fillId="0" borderId="5" xfId="0" applyFont="1" applyFill="1" applyBorder="1"/>
    <xf numFmtId="171" fontId="60" fillId="0" borderId="54" xfId="28" applyNumberFormat="1" applyFont="1" applyFill="1" applyBorder="1" applyAlignment="1">
      <alignment horizontal="center" wrapText="1"/>
    </xf>
    <xf numFmtId="0" fontId="60" fillId="0" borderId="0" xfId="0" applyFont="1" applyFill="1" applyAlignment="1">
      <alignment horizontal="left"/>
    </xf>
    <xf numFmtId="3" fontId="60" fillId="0" borderId="54" xfId="0" applyNumberFormat="1" applyFont="1" applyFill="1" applyBorder="1" applyAlignment="1">
      <alignment horizontal="center" wrapText="1"/>
    </xf>
    <xf numFmtId="0" fontId="77" fillId="0" borderId="0" xfId="0" applyFont="1" applyFill="1"/>
    <xf numFmtId="0" fontId="84" fillId="0" borderId="0" xfId="0" applyFont="1" applyFill="1" applyAlignment="1">
      <alignment vertical="center"/>
    </xf>
    <xf numFmtId="0" fontId="74" fillId="0" borderId="0" xfId="0" applyFont="1" applyFill="1" applyAlignment="1">
      <alignment horizontal="center" vertical="center"/>
    </xf>
    <xf numFmtId="0" fontId="79" fillId="0" borderId="0" xfId="0" applyFont="1" applyFill="1" applyAlignment="1">
      <alignment vertical="center"/>
    </xf>
    <xf numFmtId="0" fontId="74" fillId="0" borderId="0" xfId="0" applyFont="1" applyFill="1" applyAlignment="1">
      <alignment horizontal="right" vertical="center"/>
    </xf>
    <xf numFmtId="0" fontId="74" fillId="0" borderId="5" xfId="0" applyFont="1" applyFill="1" applyBorder="1" applyAlignment="1">
      <alignment horizontal="center" vertical="center"/>
    </xf>
    <xf numFmtId="0" fontId="74" fillId="0" borderId="42" xfId="0" applyFont="1" applyFill="1" applyBorder="1" applyAlignment="1">
      <alignment horizontal="center" vertical="center"/>
    </xf>
    <xf numFmtId="3" fontId="84" fillId="0" borderId="50" xfId="0" applyNumberFormat="1" applyFont="1" applyFill="1" applyBorder="1" applyAlignment="1">
      <alignment horizontal="center" vertical="center"/>
    </xf>
    <xf numFmtId="6" fontId="74" fillId="0" borderId="48" xfId="0" applyNumberFormat="1" applyFont="1" applyFill="1" applyBorder="1" applyAlignment="1">
      <alignment horizontal="center" vertical="center"/>
    </xf>
    <xf numFmtId="8" fontId="74" fillId="0" borderId="48" xfId="0" applyNumberFormat="1" applyFont="1" applyFill="1" applyBorder="1" applyAlignment="1">
      <alignment horizontal="center" vertical="center"/>
    </xf>
    <xf numFmtId="3" fontId="84" fillId="0" borderId="42" xfId="0" applyNumberFormat="1" applyFont="1" applyFill="1" applyBorder="1" applyAlignment="1">
      <alignment horizontal="center" vertical="center"/>
    </xf>
    <xf numFmtId="6" fontId="74" fillId="0" borderId="42" xfId="0" applyNumberFormat="1" applyFont="1" applyFill="1" applyBorder="1" applyAlignment="1">
      <alignment horizontal="center" vertical="center"/>
    </xf>
    <xf numFmtId="8" fontId="74" fillId="0" borderId="42" xfId="0" applyNumberFormat="1" applyFont="1" applyFill="1" applyBorder="1" applyAlignment="1">
      <alignment horizontal="center" vertical="center"/>
    </xf>
    <xf numFmtId="0" fontId="74" fillId="0" borderId="50" xfId="0" applyFont="1" applyFill="1" applyBorder="1" applyAlignment="1">
      <alignment horizontal="center" vertical="center"/>
    </xf>
    <xf numFmtId="0" fontId="74" fillId="0" borderId="48" xfId="0" applyFont="1" applyFill="1" applyBorder="1" applyAlignment="1">
      <alignment horizontal="center" vertical="center"/>
    </xf>
    <xf numFmtId="3" fontId="84" fillId="0" borderId="48" xfId="0" applyNumberFormat="1" applyFont="1" applyFill="1" applyBorder="1" applyAlignment="1">
      <alignment horizontal="center" vertical="center"/>
    </xf>
    <xf numFmtId="0" fontId="52" fillId="0" borderId="0" xfId="0" applyFont="1" applyFill="1" applyAlignment="1">
      <alignment horizontal="center" vertical="center"/>
    </xf>
    <xf numFmtId="3" fontId="81" fillId="0" borderId="0" xfId="0" applyNumberFormat="1" applyFont="1" applyFill="1" applyAlignment="1">
      <alignment horizontal="right" vertical="center"/>
    </xf>
    <xf numFmtId="3" fontId="81" fillId="0" borderId="0" xfId="0" applyNumberFormat="1" applyFont="1" applyFill="1" applyAlignment="1">
      <alignment horizontal="center" vertical="center"/>
    </xf>
    <xf numFmtId="0" fontId="81" fillId="0" borderId="0" xfId="0" applyFont="1" applyFill="1" applyAlignment="1">
      <alignment horizontal="center" vertical="center"/>
    </xf>
    <xf numFmtId="0" fontId="71" fillId="0" borderId="0" xfId="0" applyFont="1" applyFill="1" applyBorder="1" applyAlignment="1">
      <alignment horizontal="center" vertical="center" wrapText="1"/>
    </xf>
    <xf numFmtId="0" fontId="78" fillId="0" borderId="0" xfId="0" applyFont="1" applyFill="1" applyBorder="1" applyAlignment="1">
      <alignment horizontal="center" vertical="center"/>
    </xf>
    <xf numFmtId="1" fontId="78" fillId="0" borderId="0" xfId="0" applyNumberFormat="1" applyFont="1" applyFill="1" applyBorder="1" applyAlignment="1">
      <alignment horizontal="center" vertical="center"/>
    </xf>
    <xf numFmtId="171" fontId="0" fillId="0" borderId="0" xfId="28" applyNumberFormat="1" applyFont="1"/>
    <xf numFmtId="171" fontId="78" fillId="0" borderId="0" xfId="0" applyNumberFormat="1" applyFont="1" applyFill="1" applyBorder="1" applyAlignment="1">
      <alignment horizontal="center" vertical="center"/>
    </xf>
    <xf numFmtId="171" fontId="0" fillId="0" borderId="3" xfId="28" applyNumberFormat="1" applyFont="1" applyFill="1" applyBorder="1"/>
    <xf numFmtId="17" fontId="44" fillId="0" borderId="44" xfId="0" applyNumberFormat="1" applyFont="1" applyBorder="1" applyAlignment="1">
      <alignment horizontal="center"/>
    </xf>
    <xf numFmtId="17" fontId="44" fillId="0" borderId="50" xfId="0" applyNumberFormat="1" applyFont="1" applyBorder="1" applyAlignment="1">
      <alignment vertical="center"/>
    </xf>
    <xf numFmtId="14" fontId="0" fillId="0" borderId="0" xfId="0" applyNumberFormat="1" applyFill="1"/>
    <xf numFmtId="14" fontId="0" fillId="0" borderId="68" xfId="0" applyNumberFormat="1" applyFill="1" applyBorder="1"/>
    <xf numFmtId="0" fontId="0" fillId="0" borderId="68" xfId="0" applyFill="1" applyBorder="1"/>
    <xf numFmtId="14" fontId="0" fillId="0" borderId="0" xfId="0" applyNumberFormat="1" applyFill="1" applyAlignment="1">
      <alignment horizontal="right"/>
    </xf>
    <xf numFmtId="0" fontId="71" fillId="38" borderId="42" xfId="0" applyFont="1" applyFill="1" applyBorder="1" applyAlignment="1">
      <alignment horizontal="right" vertical="center"/>
    </xf>
    <xf numFmtId="167" fontId="44" fillId="0" borderId="0" xfId="0" applyNumberFormat="1" applyFont="1" applyFill="1"/>
    <xf numFmtId="0" fontId="44" fillId="0" borderId="0" xfId="0" applyFont="1" applyFill="1" applyBorder="1"/>
    <xf numFmtId="0" fontId="44" fillId="0" borderId="0" xfId="0" applyFont="1" applyBorder="1"/>
    <xf numFmtId="0" fontId="57" fillId="47" borderId="0" xfId="0" applyFont="1" applyFill="1" applyBorder="1"/>
    <xf numFmtId="0" fontId="0" fillId="0" borderId="0" xfId="0"/>
    <xf numFmtId="0" fontId="0" fillId="0" borderId="49" xfId="0" applyBorder="1"/>
    <xf numFmtId="0" fontId="0" fillId="0" borderId="0" xfId="0" applyFill="1" applyBorder="1"/>
    <xf numFmtId="0" fontId="0" fillId="0" borderId="3" xfId="0" applyFill="1" applyBorder="1"/>
    <xf numFmtId="0" fontId="0" fillId="0" borderId="0" xfId="0" applyFill="1"/>
    <xf numFmtId="0" fontId="55" fillId="0" borderId="0" xfId="0" applyFont="1" applyAlignment="1">
      <alignment horizontal="left" vertical="center"/>
    </xf>
    <xf numFmtId="0" fontId="0" fillId="0" borderId="47" xfId="0" applyFill="1" applyBorder="1" applyAlignment="1">
      <alignment horizontal="center"/>
    </xf>
    <xf numFmtId="0" fontId="0" fillId="0" borderId="52" xfId="0" applyFill="1" applyBorder="1" applyAlignment="1">
      <alignment horizontal="center" wrapText="1"/>
    </xf>
    <xf numFmtId="0" fontId="0" fillId="0" borderId="53" xfId="0" applyFill="1" applyBorder="1" applyAlignment="1">
      <alignment horizontal="center" wrapText="1"/>
    </xf>
    <xf numFmtId="0" fontId="0" fillId="0" borderId="23" xfId="0" applyFill="1" applyBorder="1" applyAlignment="1">
      <alignment horizontal="left"/>
    </xf>
    <xf numFmtId="4" fontId="0" fillId="0" borderId="28" xfId="0" applyNumberFormat="1" applyFill="1" applyBorder="1"/>
    <xf numFmtId="0" fontId="0" fillId="0" borderId="28" xfId="0" applyFill="1" applyBorder="1"/>
    <xf numFmtId="0" fontId="0" fillId="0" borderId="29" xfId="0" applyFill="1" applyBorder="1"/>
    <xf numFmtId="0" fontId="0" fillId="0" borderId="37" xfId="0" applyFill="1" applyBorder="1" applyAlignment="1">
      <alignment horizontal="left"/>
    </xf>
    <xf numFmtId="4" fontId="0" fillId="0" borderId="3" xfId="0" applyNumberFormat="1" applyFill="1" applyBorder="1"/>
    <xf numFmtId="0" fontId="0" fillId="0" borderId="12" xfId="0" applyFill="1" applyBorder="1"/>
    <xf numFmtId="0" fontId="49" fillId="0" borderId="0" xfId="0" applyFont="1" applyFill="1"/>
    <xf numFmtId="4" fontId="0" fillId="0" borderId="54" xfId="0" applyNumberFormat="1" applyFill="1" applyBorder="1"/>
    <xf numFmtId="4" fontId="0" fillId="0" borderId="12" xfId="0" applyNumberFormat="1" applyFill="1" applyBorder="1"/>
    <xf numFmtId="0" fontId="0" fillId="0" borderId="122" xfId="0" applyFill="1" applyBorder="1" applyAlignment="1">
      <alignment horizontal="left"/>
    </xf>
    <xf numFmtId="4" fontId="0" fillId="0" borderId="129" xfId="0" applyNumberFormat="1" applyFill="1" applyBorder="1"/>
    <xf numFmtId="0" fontId="0" fillId="0" borderId="39" xfId="0" applyFill="1" applyBorder="1"/>
    <xf numFmtId="0" fontId="0" fillId="0" borderId="56" xfId="0" applyFill="1" applyBorder="1"/>
    <xf numFmtId="0" fontId="0" fillId="0" borderId="33" xfId="0" applyFill="1" applyBorder="1" applyAlignment="1">
      <alignment horizontal="left" wrapText="1"/>
    </xf>
    <xf numFmtId="4" fontId="0" fillId="0" borderId="39" xfId="0" applyNumberFormat="1" applyFill="1" applyBorder="1"/>
    <xf numFmtId="0" fontId="41" fillId="0" borderId="6" xfId="0" applyFont="1" applyFill="1" applyBorder="1" applyAlignment="1">
      <alignment horizontal="right"/>
    </xf>
    <xf numFmtId="0" fontId="41" fillId="0" borderId="7" xfId="0" applyFont="1" applyFill="1" applyBorder="1"/>
    <xf numFmtId="0" fontId="41" fillId="0" borderId="9" xfId="0" applyFont="1" applyFill="1" applyBorder="1"/>
    <xf numFmtId="0" fontId="0" fillId="0" borderId="0" xfId="0" applyFill="1" applyAlignment="1">
      <alignment horizontal="right" indent="1"/>
    </xf>
    <xf numFmtId="0" fontId="41" fillId="0" borderId="0" xfId="0" applyFont="1" applyFill="1"/>
    <xf numFmtId="0" fontId="0" fillId="0" borderId="0" xfId="0" applyFill="1" applyAlignment="1">
      <alignment horizontal="left" indent="1"/>
    </xf>
    <xf numFmtId="169" fontId="0" fillId="0" borderId="0" xfId="0" applyNumberFormat="1" applyFill="1"/>
    <xf numFmtId="14" fontId="47" fillId="0" borderId="0" xfId="0" applyNumberFormat="1" applyFont="1" applyFill="1" applyAlignment="1">
      <alignment horizontal="right" vertical="center"/>
    </xf>
    <xf numFmtId="0" fontId="47" fillId="0" borderId="0" xfId="0" applyFont="1" applyFill="1" applyAlignment="1">
      <alignment horizontal="right" vertical="center"/>
    </xf>
    <xf numFmtId="0" fontId="47" fillId="0" borderId="0" xfId="0" applyFont="1" applyFill="1" applyAlignment="1">
      <alignment vertical="center"/>
    </xf>
    <xf numFmtId="4" fontId="47" fillId="0" borderId="0" xfId="0" applyNumberFormat="1" applyFont="1" applyFill="1" applyAlignment="1">
      <alignment horizontal="right" vertical="center"/>
    </xf>
    <xf numFmtId="0" fontId="0" fillId="0" borderId="0" xfId="0" quotePrefix="1" applyFill="1"/>
    <xf numFmtId="0" fontId="41" fillId="0" borderId="124" xfId="0" applyFont="1" applyFill="1" applyBorder="1" applyAlignment="1">
      <alignment horizontal="left"/>
    </xf>
    <xf numFmtId="4" fontId="41" fillId="0" borderId="128" xfId="0" applyNumberFormat="1" applyFont="1" applyFill="1" applyBorder="1"/>
    <xf numFmtId="4" fontId="0" fillId="0" borderId="49" xfId="0" applyNumberFormat="1" applyFill="1" applyBorder="1"/>
    <xf numFmtId="4" fontId="41" fillId="0" borderId="126" xfId="0" applyNumberFormat="1" applyFont="1" applyFill="1" applyBorder="1"/>
    <xf numFmtId="0" fontId="41" fillId="0" borderId="0" xfId="0" applyFont="1" applyFill="1" applyAlignment="1">
      <alignment horizontal="left"/>
    </xf>
    <xf numFmtId="0" fontId="41" fillId="0" borderId="125" xfId="0" applyFont="1" applyFill="1" applyBorder="1" applyAlignment="1">
      <alignment horizontal="left"/>
    </xf>
    <xf numFmtId="4" fontId="41" fillId="0" borderId="127" xfId="0" applyNumberFormat="1" applyFont="1" applyFill="1" applyBorder="1"/>
    <xf numFmtId="3" fontId="60" fillId="0" borderId="54" xfId="0" quotePrefix="1" applyNumberFormat="1" applyFont="1" applyFill="1" applyBorder="1" applyAlignment="1">
      <alignment horizontal="center" wrapText="1"/>
    </xf>
    <xf numFmtId="165" fontId="60" fillId="0" borderId="54" xfId="0" quotePrefix="1" applyNumberFormat="1" applyFont="1" applyFill="1" applyBorder="1" applyAlignment="1">
      <alignment horizontal="center" wrapText="1"/>
    </xf>
    <xf numFmtId="0" fontId="54" fillId="0" borderId="0" xfId="0" applyFont="1" applyFill="1"/>
    <xf numFmtId="0" fontId="54" fillId="0" borderId="0" xfId="0" applyFont="1" applyFill="1" applyAlignment="1">
      <alignment horizontal="right"/>
    </xf>
    <xf numFmtId="0" fontId="44" fillId="0" borderId="46" xfId="0" applyFont="1" applyFill="1" applyBorder="1" applyAlignment="1">
      <alignment horizontal="right"/>
    </xf>
    <xf numFmtId="0" fontId="44" fillId="0" borderId="24" xfId="0" applyFont="1" applyFill="1" applyBorder="1" applyAlignment="1">
      <alignment horizontal="center"/>
    </xf>
    <xf numFmtId="0" fontId="44" fillId="0" borderId="25" xfId="0" applyFont="1" applyFill="1" applyBorder="1"/>
    <xf numFmtId="0" fontId="44" fillId="0" borderId="3" xfId="0" applyFont="1" applyFill="1" applyBorder="1" applyAlignment="1">
      <alignment horizontal="right"/>
    </xf>
    <xf numFmtId="10" fontId="44" fillId="0" borderId="3" xfId="56" applyNumberFormat="1" applyFont="1" applyFill="1" applyBorder="1"/>
    <xf numFmtId="0" fontId="44" fillId="0" borderId="49" xfId="0" applyFont="1" applyFill="1" applyBorder="1" applyAlignment="1">
      <alignment horizontal="center"/>
    </xf>
    <xf numFmtId="0" fontId="44" fillId="0" borderId="46" xfId="0" applyFont="1" applyFill="1" applyBorder="1"/>
    <xf numFmtId="3" fontId="44" fillId="0" borderId="0" xfId="0" applyNumberFormat="1" applyFont="1" applyFill="1"/>
    <xf numFmtId="0" fontId="44" fillId="0" borderId="40" xfId="0" applyFont="1" applyFill="1" applyBorder="1" applyAlignment="1">
      <alignment horizontal="center"/>
    </xf>
    <xf numFmtId="0" fontId="44" fillId="0" borderId="42" xfId="0" applyFont="1" applyFill="1" applyBorder="1"/>
    <xf numFmtId="175" fontId="44" fillId="0" borderId="3" xfId="56" applyNumberFormat="1" applyFont="1" applyFill="1" applyBorder="1"/>
    <xf numFmtId="0" fontId="60" fillId="0" borderId="0" xfId="0" applyFont="1" applyAlignment="1">
      <alignment horizontal="right"/>
    </xf>
    <xf numFmtId="0" fontId="60" fillId="0" borderId="7" xfId="0" applyFont="1" applyBorder="1" applyAlignment="1">
      <alignment horizontal="right" wrapText="1"/>
    </xf>
    <xf numFmtId="170" fontId="60" fillId="0" borderId="0" xfId="0" applyNumberFormat="1" applyFont="1" applyAlignment="1">
      <alignment horizontal="right"/>
    </xf>
    <xf numFmtId="164" fontId="60" fillId="0" borderId="54" xfId="0" applyNumberFormat="1" applyFont="1" applyBorder="1" applyAlignment="1">
      <alignment horizontal="right" wrapText="1"/>
    </xf>
    <xf numFmtId="4" fontId="60" fillId="0" borderId="54" xfId="0" quotePrefix="1" applyNumberFormat="1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75" fontId="0" fillId="0" borderId="0" xfId="56" applyNumberFormat="1" applyFont="1" applyAlignment="1">
      <alignment vertical="top" wrapText="1"/>
    </xf>
    <xf numFmtId="170" fontId="0" fillId="0" borderId="3" xfId="0" applyNumberFormat="1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0" fillId="0" borderId="0" xfId="0"/>
    <xf numFmtId="0" fontId="41" fillId="0" borderId="0" xfId="0" applyFont="1"/>
    <xf numFmtId="43" fontId="60" fillId="0" borderId="0" xfId="28" applyFont="1"/>
    <xf numFmtId="43" fontId="60" fillId="0" borderId="0" xfId="0" applyNumberFormat="1" applyFont="1"/>
    <xf numFmtId="0" fontId="52" fillId="0" borderId="4" xfId="0" applyFont="1" applyBorder="1" applyAlignment="1">
      <alignment horizontal="center" vertical="center" textRotation="90"/>
    </xf>
    <xf numFmtId="0" fontId="52" fillId="0" borderId="38" xfId="0" applyFont="1" applyBorder="1" applyAlignment="1">
      <alignment horizontal="center" vertical="center" textRotation="90"/>
    </xf>
    <xf numFmtId="0" fontId="52" fillId="0" borderId="5" xfId="0" applyFont="1" applyBorder="1" applyAlignment="1">
      <alignment horizontal="center" vertical="center" textRotation="90"/>
    </xf>
    <xf numFmtId="0" fontId="52" fillId="0" borderId="4" xfId="0" applyFont="1" applyBorder="1" applyAlignment="1">
      <alignment horizontal="center" vertical="center" textRotation="90" wrapText="1"/>
    </xf>
    <xf numFmtId="0" fontId="52" fillId="0" borderId="38" xfId="0" applyFont="1" applyBorder="1" applyAlignment="1">
      <alignment horizontal="center" vertical="center" textRotation="90" wrapText="1"/>
    </xf>
    <xf numFmtId="0" fontId="52" fillId="0" borderId="5" xfId="0" applyFont="1" applyBorder="1" applyAlignment="1">
      <alignment horizontal="center" vertical="center" textRotation="90" wrapText="1"/>
    </xf>
    <xf numFmtId="0" fontId="12" fillId="0" borderId="0" xfId="0" applyFont="1" applyAlignment="1">
      <alignment horizontal="center"/>
    </xf>
    <xf numFmtId="0" fontId="14" fillId="0" borderId="0" xfId="0" applyFont="1"/>
    <xf numFmtId="0" fontId="52" fillId="0" borderId="24" xfId="0" applyFont="1" applyBorder="1" applyAlignment="1">
      <alignment horizontal="center"/>
    </xf>
    <xf numFmtId="0" fontId="52" fillId="0" borderId="43" xfId="0" applyFont="1" applyBorder="1" applyAlignment="1">
      <alignment horizontal="center"/>
    </xf>
    <xf numFmtId="0" fontId="52" fillId="0" borderId="25" xfId="0" applyFont="1" applyBorder="1" applyAlignment="1">
      <alignment horizontal="center"/>
    </xf>
    <xf numFmtId="0" fontId="52" fillId="0" borderId="43" xfId="0" applyFont="1" applyBorder="1" applyAlignment="1">
      <alignment horizontal="center" vertical="center" textRotation="90"/>
    </xf>
    <xf numFmtId="0" fontId="52" fillId="0" borderId="0" xfId="0" applyFont="1" applyBorder="1" applyAlignment="1">
      <alignment horizontal="center" vertical="center" textRotation="90"/>
    </xf>
    <xf numFmtId="0" fontId="52" fillId="0" borderId="41" xfId="0" applyFont="1" applyBorder="1" applyAlignment="1">
      <alignment horizontal="center" vertical="center" textRotation="90"/>
    </xf>
    <xf numFmtId="0" fontId="15" fillId="0" borderId="0" xfId="0" applyFont="1" applyAlignment="1">
      <alignment horizontal="center"/>
    </xf>
    <xf numFmtId="0" fontId="15" fillId="0" borderId="0" xfId="0" quotePrefix="1" applyFont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58" fillId="0" borderId="40" xfId="0" applyFont="1" applyBorder="1" applyAlignment="1">
      <alignment horizontal="center" wrapText="1"/>
    </xf>
    <xf numFmtId="0" fontId="58" fillId="0" borderId="97" xfId="0" applyFont="1" applyBorder="1" applyAlignment="1">
      <alignment horizontal="center" wrapText="1"/>
    </xf>
    <xf numFmtId="0" fontId="58" fillId="0" borderId="0" xfId="0" applyFont="1" applyAlignment="1">
      <alignment horizontal="center"/>
    </xf>
    <xf numFmtId="0" fontId="72" fillId="0" borderId="0" xfId="0" applyFont="1" applyAlignment="1">
      <alignment horizontal="center"/>
    </xf>
    <xf numFmtId="0" fontId="58" fillId="0" borderId="98" xfId="0" applyFont="1" applyBorder="1" applyAlignment="1">
      <alignment horizontal="center"/>
    </xf>
    <xf numFmtId="0" fontId="58" fillId="0" borderId="99" xfId="0" applyFont="1" applyBorder="1" applyAlignment="1">
      <alignment horizontal="center"/>
    </xf>
    <xf numFmtId="0" fontId="58" fillId="0" borderId="100" xfId="0" applyFont="1" applyBorder="1" applyAlignment="1">
      <alignment horizontal="center"/>
    </xf>
    <xf numFmtId="0" fontId="58" fillId="0" borderId="101" xfId="0" applyFont="1" applyBorder="1" applyAlignment="1">
      <alignment horizontal="center"/>
    </xf>
    <xf numFmtId="0" fontId="58" fillId="0" borderId="0" xfId="0" applyFont="1" applyAlignment="1">
      <alignment horizontal="left" wrapText="1"/>
    </xf>
    <xf numFmtId="0" fontId="58" fillId="0" borderId="0" xfId="0" applyFont="1" applyAlignment="1">
      <alignment horizontal="left" vertical="center" wrapText="1"/>
    </xf>
    <xf numFmtId="0" fontId="58" fillId="0" borderId="73" xfId="0" applyFont="1" applyBorder="1" applyAlignment="1">
      <alignment horizontal="center" wrapText="1"/>
    </xf>
    <xf numFmtId="0" fontId="59" fillId="0" borderId="89" xfId="0" applyFont="1" applyBorder="1" applyAlignment="1">
      <alignment horizontal="right" vertical="center"/>
    </xf>
    <xf numFmtId="0" fontId="59" fillId="0" borderId="0" xfId="0" applyFont="1" applyAlignment="1">
      <alignment horizontal="right" vertical="center"/>
    </xf>
    <xf numFmtId="0" fontId="60" fillId="0" borderId="73" xfId="0" applyFont="1" applyBorder="1" applyAlignment="1">
      <alignment horizontal="center" wrapText="1"/>
    </xf>
    <xf numFmtId="0" fontId="73" fillId="0" borderId="0" xfId="0" applyFont="1" applyAlignment="1">
      <alignment horizontal="center"/>
    </xf>
    <xf numFmtId="0" fontId="60" fillId="0" borderId="102" xfId="0" applyFont="1" applyBorder="1" applyAlignment="1">
      <alignment horizontal="center"/>
    </xf>
    <xf numFmtId="0" fontId="60" fillId="0" borderId="103" xfId="0" applyFont="1" applyBorder="1" applyAlignment="1">
      <alignment horizontal="center"/>
    </xf>
    <xf numFmtId="0" fontId="60" fillId="0" borderId="81" xfId="0" applyFont="1" applyBorder="1" applyAlignment="1">
      <alignment horizontal="center"/>
    </xf>
    <xf numFmtId="0" fontId="60" fillId="0" borderId="104" xfId="0" applyFont="1" applyBorder="1" applyAlignment="1">
      <alignment horizontal="center" wrapText="1"/>
    </xf>
    <xf numFmtId="0" fontId="60" fillId="0" borderId="105" xfId="0" applyFont="1" applyBorder="1" applyAlignment="1">
      <alignment horizontal="center" wrapText="1"/>
    </xf>
    <xf numFmtId="0" fontId="60" fillId="0" borderId="106" xfId="0" applyFont="1" applyBorder="1" applyAlignment="1">
      <alignment horizontal="center" wrapText="1"/>
    </xf>
    <xf numFmtId="0" fontId="60" fillId="0" borderId="107" xfId="0" applyFont="1" applyBorder="1" applyAlignment="1">
      <alignment horizontal="center" wrapText="1"/>
    </xf>
    <xf numFmtId="0" fontId="60" fillId="0" borderId="97" xfId="0" applyFont="1" applyBorder="1" applyAlignment="1">
      <alignment horizontal="center" wrapText="1"/>
    </xf>
    <xf numFmtId="0" fontId="54" fillId="0" borderId="3" xfId="0" applyFont="1" applyFill="1" applyBorder="1" applyAlignment="1">
      <alignment horizontal="center"/>
    </xf>
    <xf numFmtId="0" fontId="54" fillId="44" borderId="24" xfId="0" applyFont="1" applyFill="1" applyBorder="1" applyAlignment="1">
      <alignment horizontal="center"/>
    </xf>
    <xf numFmtId="0" fontId="54" fillId="44" borderId="43" xfId="0" applyFont="1" applyFill="1" applyBorder="1" applyAlignment="1">
      <alignment horizontal="center"/>
    </xf>
    <xf numFmtId="0" fontId="54" fillId="44" borderId="25" xfId="0" applyFont="1" applyFill="1" applyBorder="1" applyAlignment="1">
      <alignment horizontal="center"/>
    </xf>
    <xf numFmtId="0" fontId="54" fillId="44" borderId="40" xfId="0" applyFont="1" applyFill="1" applyBorder="1" applyAlignment="1">
      <alignment horizontal="center"/>
    </xf>
    <xf numFmtId="0" fontId="54" fillId="44" borderId="41" xfId="0" applyFont="1" applyFill="1" applyBorder="1" applyAlignment="1">
      <alignment horizontal="center"/>
    </xf>
    <xf numFmtId="0" fontId="54" fillId="44" borderId="42" xfId="0" applyFont="1" applyFill="1" applyBorder="1" applyAlignment="1">
      <alignment horizontal="center"/>
    </xf>
    <xf numFmtId="0" fontId="83" fillId="42" borderId="10" xfId="0" applyFont="1" applyFill="1" applyBorder="1" applyAlignment="1">
      <alignment horizontal="center" vertical="center" wrapText="1"/>
    </xf>
    <xf numFmtId="0" fontId="83" fillId="42" borderId="93" xfId="0" applyFont="1" applyFill="1" applyBorder="1" applyAlignment="1">
      <alignment horizontal="center" vertical="center" wrapText="1"/>
    </xf>
    <xf numFmtId="0" fontId="83" fillId="42" borderId="55" xfId="0" applyFont="1" applyFill="1" applyBorder="1" applyAlignment="1">
      <alignment horizontal="center" vertical="center" wrapText="1"/>
    </xf>
    <xf numFmtId="0" fontId="54" fillId="45" borderId="24" xfId="0" applyFont="1" applyFill="1" applyBorder="1" applyAlignment="1">
      <alignment horizontal="center"/>
    </xf>
    <xf numFmtId="0" fontId="54" fillId="45" borderId="43" xfId="0" applyFont="1" applyFill="1" applyBorder="1" applyAlignment="1">
      <alignment horizontal="center"/>
    </xf>
    <xf numFmtId="0" fontId="54" fillId="45" borderId="25" xfId="0" applyFont="1" applyFill="1" applyBorder="1" applyAlignment="1">
      <alignment horizontal="center"/>
    </xf>
    <xf numFmtId="0" fontId="54" fillId="43" borderId="24" xfId="0" applyFont="1" applyFill="1" applyBorder="1" applyAlignment="1">
      <alignment horizontal="center"/>
    </xf>
    <xf numFmtId="0" fontId="54" fillId="43" borderId="43" xfId="0" applyFont="1" applyFill="1" applyBorder="1" applyAlignment="1">
      <alignment horizontal="center"/>
    </xf>
    <xf numFmtId="0" fontId="54" fillId="43" borderId="25" xfId="0" applyFont="1" applyFill="1" applyBorder="1" applyAlignment="1">
      <alignment horizontal="center"/>
    </xf>
    <xf numFmtId="0" fontId="53" fillId="45" borderId="40" xfId="0" applyFont="1" applyFill="1" applyBorder="1" applyAlignment="1">
      <alignment horizontal="center"/>
    </xf>
    <xf numFmtId="0" fontId="53" fillId="45" borderId="41" xfId="0" applyFont="1" applyFill="1" applyBorder="1" applyAlignment="1">
      <alignment horizontal="center"/>
    </xf>
    <xf numFmtId="0" fontId="53" fillId="45" borderId="42" xfId="0" applyFont="1" applyFill="1" applyBorder="1" applyAlignment="1">
      <alignment horizontal="center"/>
    </xf>
    <xf numFmtId="0" fontId="53" fillId="43" borderId="40" xfId="0" applyFont="1" applyFill="1" applyBorder="1" applyAlignment="1">
      <alignment horizontal="center"/>
    </xf>
    <xf numFmtId="0" fontId="53" fillId="43" borderId="41" xfId="0" applyFont="1" applyFill="1" applyBorder="1" applyAlignment="1">
      <alignment horizontal="center"/>
    </xf>
    <xf numFmtId="0" fontId="53" fillId="43" borderId="42" xfId="0" applyFont="1" applyFill="1" applyBorder="1" applyAlignment="1">
      <alignment horizontal="center"/>
    </xf>
    <xf numFmtId="0" fontId="53" fillId="41" borderId="40" xfId="0" applyFont="1" applyFill="1" applyBorder="1" applyAlignment="1">
      <alignment horizontal="center"/>
    </xf>
    <xf numFmtId="0" fontId="53" fillId="41" borderId="41" xfId="0" applyFont="1" applyFill="1" applyBorder="1" applyAlignment="1">
      <alignment horizontal="center"/>
    </xf>
    <xf numFmtId="0" fontId="53" fillId="41" borderId="42" xfId="0" applyFont="1" applyFill="1" applyBorder="1" applyAlignment="1">
      <alignment horizontal="center"/>
    </xf>
    <xf numFmtId="0" fontId="53" fillId="0" borderId="0" xfId="0" applyFont="1" applyAlignment="1">
      <alignment horizontal="center"/>
    </xf>
    <xf numFmtId="0" fontId="53" fillId="46" borderId="24" xfId="0" applyFont="1" applyFill="1" applyBorder="1" applyAlignment="1">
      <alignment horizontal="center"/>
    </xf>
    <xf numFmtId="0" fontId="53" fillId="46" borderId="43" xfId="0" applyFont="1" applyFill="1" applyBorder="1" applyAlignment="1">
      <alignment horizontal="center"/>
    </xf>
    <xf numFmtId="0" fontId="53" fillId="46" borderId="25" xfId="0" applyFont="1" applyFill="1" applyBorder="1" applyAlignment="1">
      <alignment horizontal="center"/>
    </xf>
    <xf numFmtId="0" fontId="53" fillId="46" borderId="40" xfId="0" applyFont="1" applyFill="1" applyBorder="1" applyAlignment="1">
      <alignment horizontal="center"/>
    </xf>
    <xf numFmtId="0" fontId="53" fillId="46" borderId="41" xfId="0" applyFont="1" applyFill="1" applyBorder="1" applyAlignment="1">
      <alignment horizontal="center"/>
    </xf>
    <xf numFmtId="0" fontId="53" fillId="46" borderId="42" xfId="0" applyFont="1" applyFill="1" applyBorder="1" applyAlignment="1">
      <alignment horizontal="center"/>
    </xf>
    <xf numFmtId="0" fontId="54" fillId="41" borderId="24" xfId="0" applyFont="1" applyFill="1" applyBorder="1" applyAlignment="1">
      <alignment horizontal="center"/>
    </xf>
    <xf numFmtId="0" fontId="54" fillId="41" borderId="43" xfId="0" applyFont="1" applyFill="1" applyBorder="1" applyAlignment="1">
      <alignment horizontal="center"/>
    </xf>
    <xf numFmtId="0" fontId="54" fillId="41" borderId="25" xfId="0" applyFont="1" applyFill="1" applyBorder="1" applyAlignment="1">
      <alignment horizontal="center"/>
    </xf>
    <xf numFmtId="0" fontId="83" fillId="42" borderId="11" xfId="0" applyFont="1" applyFill="1" applyBorder="1" applyAlignment="1">
      <alignment horizontal="center" vertical="center" wrapText="1"/>
    </xf>
    <xf numFmtId="0" fontId="83" fillId="42" borderId="6" xfId="0" applyFont="1" applyFill="1" applyBorder="1" applyAlignment="1">
      <alignment horizontal="center" vertical="center" wrapText="1"/>
    </xf>
    <xf numFmtId="0" fontId="83" fillId="42" borderId="90" xfId="0" applyFont="1" applyFill="1" applyBorder="1" applyAlignment="1">
      <alignment horizontal="center" vertical="center"/>
    </xf>
    <xf numFmtId="0" fontId="83" fillId="42" borderId="108" xfId="0" applyFont="1" applyFill="1" applyBorder="1" applyAlignment="1">
      <alignment horizontal="center" vertical="center"/>
    </xf>
    <xf numFmtId="0" fontId="83" fillId="42" borderId="109" xfId="0" applyFont="1" applyFill="1" applyBorder="1" applyAlignment="1">
      <alignment horizontal="center" vertical="center"/>
    </xf>
    <xf numFmtId="0" fontId="83" fillId="42" borderId="28" xfId="0" applyFont="1" applyFill="1" applyBorder="1" applyAlignment="1">
      <alignment horizontal="center" vertical="center"/>
    </xf>
    <xf numFmtId="0" fontId="83" fillId="42" borderId="29" xfId="0" applyFont="1" applyFill="1" applyBorder="1" applyAlignment="1">
      <alignment horizontal="center" vertical="center"/>
    </xf>
    <xf numFmtId="0" fontId="44" fillId="0" borderId="24" xfId="0" applyFont="1" applyBorder="1" applyAlignment="1">
      <alignment horizontal="center" wrapText="1"/>
    </xf>
    <xf numFmtId="0" fontId="44" fillId="0" borderId="25" xfId="0" applyFont="1" applyBorder="1"/>
    <xf numFmtId="0" fontId="44" fillId="0" borderId="25" xfId="0" applyFont="1" applyBorder="1" applyAlignment="1">
      <alignment horizontal="center" wrapText="1"/>
    </xf>
    <xf numFmtId="0" fontId="53" fillId="44" borderId="40" xfId="0" applyFont="1" applyFill="1" applyBorder="1" applyAlignment="1">
      <alignment horizontal="center"/>
    </xf>
    <xf numFmtId="0" fontId="53" fillId="44" borderId="41" xfId="0" applyFont="1" applyFill="1" applyBorder="1" applyAlignment="1">
      <alignment horizontal="center"/>
    </xf>
    <xf numFmtId="0" fontId="53" fillId="44" borderId="42" xfId="0" applyFont="1" applyFill="1" applyBorder="1" applyAlignment="1">
      <alignment horizontal="center"/>
    </xf>
    <xf numFmtId="0" fontId="54" fillId="0" borderId="0" xfId="0" applyFont="1" applyAlignment="1">
      <alignment horizontal="center"/>
    </xf>
    <xf numFmtId="0" fontId="53" fillId="45" borderId="47" xfId="0" applyFont="1" applyFill="1" applyBorder="1" applyAlignment="1">
      <alignment horizontal="center"/>
    </xf>
    <xf numFmtId="0" fontId="44" fillId="0" borderId="48" xfId="0" applyFont="1" applyBorder="1"/>
    <xf numFmtId="0" fontId="53" fillId="43" borderId="47" xfId="0" applyFont="1" applyFill="1" applyBorder="1" applyAlignment="1">
      <alignment horizontal="center"/>
    </xf>
    <xf numFmtId="0" fontId="53" fillId="44" borderId="24" xfId="0" applyFont="1" applyFill="1" applyBorder="1" applyAlignment="1">
      <alignment horizontal="center"/>
    </xf>
    <xf numFmtId="0" fontId="53" fillId="44" borderId="25" xfId="0" applyFont="1" applyFill="1" applyBorder="1" applyAlignment="1">
      <alignment horizontal="center"/>
    </xf>
    <xf numFmtId="0" fontId="53" fillId="45" borderId="24" xfId="0" applyFont="1" applyFill="1" applyBorder="1" applyAlignment="1">
      <alignment horizontal="center"/>
    </xf>
    <xf numFmtId="0" fontId="53" fillId="45" borderId="43" xfId="0" applyFont="1" applyFill="1" applyBorder="1" applyAlignment="1">
      <alignment horizontal="center"/>
    </xf>
    <xf numFmtId="0" fontId="53" fillId="43" borderId="24" xfId="0" applyFont="1" applyFill="1" applyBorder="1" applyAlignment="1">
      <alignment horizontal="center"/>
    </xf>
    <xf numFmtId="0" fontId="53" fillId="43" borderId="43" xfId="0" applyFont="1" applyFill="1" applyBorder="1" applyAlignment="1">
      <alignment horizontal="center"/>
    </xf>
    <xf numFmtId="0" fontId="54" fillId="45" borderId="40" xfId="0" applyFont="1" applyFill="1" applyBorder="1" applyAlignment="1">
      <alignment horizontal="center"/>
    </xf>
    <xf numFmtId="0" fontId="54" fillId="45" borderId="41" xfId="0" applyFont="1" applyFill="1" applyBorder="1" applyAlignment="1">
      <alignment horizontal="center"/>
    </xf>
    <xf numFmtId="0" fontId="54" fillId="45" borderId="42" xfId="0" applyFont="1" applyFill="1" applyBorder="1" applyAlignment="1">
      <alignment horizontal="center"/>
    </xf>
    <xf numFmtId="0" fontId="54" fillId="43" borderId="40" xfId="0" applyFont="1" applyFill="1" applyBorder="1" applyAlignment="1">
      <alignment horizontal="center"/>
    </xf>
    <xf numFmtId="0" fontId="54" fillId="43" borderId="41" xfId="0" applyFont="1" applyFill="1" applyBorder="1" applyAlignment="1">
      <alignment horizontal="center"/>
    </xf>
    <xf numFmtId="0" fontId="54" fillId="43" borderId="42" xfId="0" applyFont="1" applyFill="1" applyBorder="1" applyAlignment="1">
      <alignment horizontal="center"/>
    </xf>
    <xf numFmtId="0" fontId="12" fillId="0" borderId="0" xfId="0" quotePrefix="1" applyFont="1" applyAlignment="1">
      <alignment horizontal="center"/>
    </xf>
    <xf numFmtId="0" fontId="4" fillId="35" borderId="41" xfId="0" applyFont="1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7" fillId="0" borderId="108" xfId="0" applyFont="1" applyBorder="1" applyAlignment="1">
      <alignment horizontal="center"/>
    </xf>
    <xf numFmtId="0" fontId="7" fillId="0" borderId="110" xfId="0" applyFont="1" applyBorder="1" applyAlignment="1">
      <alignment horizontal="center"/>
    </xf>
    <xf numFmtId="0" fontId="41" fillId="0" borderId="4" xfId="0" applyFont="1" applyBorder="1" applyAlignment="1">
      <alignment horizontal="center" vertical="center" textRotation="90"/>
    </xf>
    <xf numFmtId="0" fontId="41" fillId="0" borderId="38" xfId="0" applyFont="1" applyBorder="1" applyAlignment="1">
      <alignment horizontal="center" vertical="center" textRotation="90"/>
    </xf>
    <xf numFmtId="0" fontId="41" fillId="0" borderId="5" xfId="0" applyFont="1" applyBorder="1" applyAlignment="1">
      <alignment horizontal="center" vertical="center" textRotation="90"/>
    </xf>
    <xf numFmtId="0" fontId="47" fillId="0" borderId="37" xfId="0" applyFont="1" applyBorder="1" applyAlignment="1">
      <alignment horizontal="center"/>
    </xf>
    <xf numFmtId="0" fontId="47" fillId="0" borderId="79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79" xfId="0" applyBorder="1" applyAlignment="1">
      <alignment horizontal="center"/>
    </xf>
    <xf numFmtId="0" fontId="3" fillId="0" borderId="108" xfId="0" applyFont="1" applyBorder="1" applyAlignment="1">
      <alignment horizontal="center"/>
    </xf>
    <xf numFmtId="0" fontId="3" fillId="0" borderId="110" xfId="0" applyFont="1" applyBorder="1" applyAlignment="1">
      <alignment horizontal="center"/>
    </xf>
    <xf numFmtId="0" fontId="48" fillId="0" borderId="0" xfId="0" applyFont="1" applyAlignment="1">
      <alignment horizontal="center"/>
    </xf>
    <xf numFmtId="0" fontId="49" fillId="0" borderId="37" xfId="0" applyFont="1" applyBorder="1" applyAlignment="1">
      <alignment horizontal="center"/>
    </xf>
    <xf numFmtId="0" fontId="49" fillId="0" borderId="79" xfId="0" applyFont="1" applyBorder="1" applyAlignment="1">
      <alignment horizontal="center"/>
    </xf>
    <xf numFmtId="0" fontId="48" fillId="0" borderId="0" xfId="0" applyFont="1" applyAlignment="1">
      <alignment horizontal="center" textRotation="90"/>
    </xf>
    <xf numFmtId="0" fontId="41" fillId="0" borderId="0" xfId="0" applyFont="1" applyAlignment="1">
      <alignment horizontal="center"/>
    </xf>
    <xf numFmtId="0" fontId="41" fillId="0" borderId="3" xfId="0" applyFont="1" applyBorder="1" applyAlignment="1">
      <alignment horizontal="center"/>
    </xf>
    <xf numFmtId="0" fontId="41" fillId="0" borderId="37" xfId="0" applyFont="1" applyBorder="1" applyAlignment="1">
      <alignment horizontal="center"/>
    </xf>
    <xf numFmtId="0" fontId="0" fillId="0" borderId="0" xfId="0" applyFill="1" applyAlignment="1">
      <alignment horizontal="left" wrapText="1"/>
    </xf>
    <xf numFmtId="0" fontId="0" fillId="0" borderId="0" xfId="0" applyAlignment="1">
      <alignment horizontal="center" wrapText="1"/>
    </xf>
    <xf numFmtId="0" fontId="80" fillId="0" borderId="0" xfId="0" applyFont="1" applyFill="1" applyBorder="1" applyAlignment="1">
      <alignment horizontal="center" vertical="center"/>
    </xf>
    <xf numFmtId="0" fontId="74" fillId="0" borderId="41" xfId="0" applyFont="1" applyFill="1" applyBorder="1" applyAlignment="1">
      <alignment vertical="center"/>
    </xf>
    <xf numFmtId="0" fontId="0" fillId="0" borderId="39" xfId="0" applyFill="1" applyBorder="1" applyAlignment="1">
      <alignment horizontal="right" vertical="center"/>
    </xf>
    <xf numFmtId="0" fontId="0" fillId="0" borderId="26" xfId="0" applyFill="1" applyBorder="1" applyAlignment="1">
      <alignment horizontal="right" vertical="center"/>
    </xf>
    <xf numFmtId="0" fontId="74" fillId="0" borderId="47" xfId="0" applyFont="1" applyBorder="1" applyAlignment="1">
      <alignment horizontal="center" vertical="center" wrapText="1"/>
    </xf>
    <xf numFmtId="0" fontId="74" fillId="0" borderId="44" xfId="0" applyFont="1" applyBorder="1" applyAlignment="1">
      <alignment horizontal="center" vertical="center" wrapText="1"/>
    </xf>
    <xf numFmtId="0" fontId="74" fillId="0" borderId="48" xfId="0" applyFont="1" applyBorder="1" applyAlignment="1">
      <alignment horizontal="center" vertical="center" wrapText="1"/>
    </xf>
    <xf numFmtId="171" fontId="25" fillId="0" borderId="39" xfId="28" applyNumberFormat="1" applyFill="1" applyBorder="1" applyAlignment="1">
      <alignment horizontal="center" vertical="center"/>
    </xf>
    <xf numFmtId="171" fontId="25" fillId="0" borderId="26" xfId="28" applyNumberForma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/>
    <xf numFmtId="0" fontId="41" fillId="37" borderId="47" xfId="0" applyFont="1" applyFill="1" applyBorder="1" applyAlignment="1">
      <alignment horizontal="center"/>
    </xf>
    <xf numFmtId="0" fontId="41" fillId="37" borderId="44" xfId="0" applyFont="1" applyFill="1" applyBorder="1" applyAlignment="1">
      <alignment horizontal="center"/>
    </xf>
    <xf numFmtId="0" fontId="41" fillId="37" borderId="48" xfId="0" applyFont="1" applyFill="1" applyBorder="1" applyAlignment="1">
      <alignment horizontal="center"/>
    </xf>
    <xf numFmtId="165" fontId="3" fillId="0" borderId="90" xfId="0" applyNumberFormat="1" applyFont="1" applyBorder="1" applyAlignment="1">
      <alignment horizontal="center"/>
    </xf>
    <xf numFmtId="165" fontId="3" fillId="0" borderId="109" xfId="0" applyNumberFormat="1" applyFont="1" applyBorder="1" applyAlignment="1">
      <alignment horizontal="center"/>
    </xf>
    <xf numFmtId="165" fontId="3" fillId="0" borderId="28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29" xfId="0" applyNumberFormat="1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41" fillId="37" borderId="47" xfId="0" applyFont="1" applyFill="1" applyBorder="1" applyAlignment="1">
      <alignment horizontal="left"/>
    </xf>
    <xf numFmtId="0" fontId="41" fillId="37" borderId="44" xfId="0" applyFont="1" applyFill="1" applyBorder="1" applyAlignment="1">
      <alignment horizontal="left"/>
    </xf>
    <xf numFmtId="0" fontId="41" fillId="37" borderId="48" xfId="0" applyFont="1" applyFill="1" applyBorder="1" applyAlignment="1">
      <alignment horizontal="left"/>
    </xf>
    <xf numFmtId="0" fontId="3" fillId="0" borderId="90" xfId="0" applyFont="1" applyBorder="1" applyAlignment="1">
      <alignment horizontal="center"/>
    </xf>
    <xf numFmtId="0" fontId="3" fillId="0" borderId="109" xfId="0" applyFont="1" applyBorder="1" applyAlignment="1">
      <alignment horizontal="center"/>
    </xf>
    <xf numFmtId="0" fontId="0" fillId="0" borderId="0" xfId="0" applyAlignment="1">
      <alignment horizontal="center"/>
    </xf>
    <xf numFmtId="0" fontId="62" fillId="0" borderId="111" xfId="0" applyFont="1" applyBorder="1" applyAlignment="1">
      <alignment horizontal="center"/>
    </xf>
    <xf numFmtId="0" fontId="62" fillId="0" borderId="57" xfId="0" applyFont="1" applyBorder="1" applyAlignment="1">
      <alignment horizontal="center"/>
    </xf>
    <xf numFmtId="0" fontId="62" fillId="0" borderId="84" xfId="0" applyFont="1" applyBorder="1" applyAlignment="1">
      <alignment horizontal="center"/>
    </xf>
    <xf numFmtId="0" fontId="66" fillId="0" borderId="0" xfId="0" applyFont="1" applyAlignment="1">
      <alignment horizontal="center"/>
    </xf>
    <xf numFmtId="0" fontId="41" fillId="0" borderId="0" xfId="0" applyFont="1" applyFill="1" applyAlignment="1">
      <alignment horizontal="center"/>
    </xf>
    <xf numFmtId="0" fontId="41" fillId="0" borderId="47" xfId="0" applyFont="1" applyFill="1" applyBorder="1" applyAlignment="1">
      <alignment horizontal="center"/>
    </xf>
    <xf numFmtId="0" fontId="41" fillId="0" borderId="44" xfId="0" applyFont="1" applyFill="1" applyBorder="1" applyAlignment="1">
      <alignment horizontal="center"/>
    </xf>
    <xf numFmtId="0" fontId="41" fillId="0" borderId="48" xfId="0" applyFont="1" applyFill="1" applyBorder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44" fillId="0" borderId="49" xfId="0" applyFont="1" applyBorder="1" applyAlignment="1">
      <alignment horizontal="center" wrapText="1"/>
    </xf>
    <xf numFmtId="0" fontId="44" fillId="0" borderId="0" xfId="0" applyFont="1" applyAlignment="1">
      <alignment horizontal="center" wrapText="1"/>
    </xf>
    <xf numFmtId="0" fontId="85" fillId="0" borderId="0" xfId="0" applyFont="1" applyAlignment="1">
      <alignment horizontal="left" wrapText="1"/>
    </xf>
    <xf numFmtId="0" fontId="0" fillId="0" borderId="0" xfId="0" applyAlignment="1">
      <alignment horizontal="left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/>
    <cellStyle name="Comma 3" xfId="30"/>
    <cellStyle name="Comma 3 2" xfId="31"/>
    <cellStyle name="Comma 4" xfId="32"/>
    <cellStyle name="Comma 4 2" xfId="66"/>
    <cellStyle name="Currency 2" xfId="33"/>
    <cellStyle name="Currency 2 2" xfId="34"/>
    <cellStyle name="Explanatory Text" xfId="35" builtinId="53" customBuiltin="1"/>
    <cellStyle name="Good" xfId="36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Input" xfId="41" builtinId="20" customBuiltin="1"/>
    <cellStyle name="Linked Cell" xfId="42" builtinId="24" customBuiltin="1"/>
    <cellStyle name="Neutral" xfId="43" builtinId="28" customBuiltin="1"/>
    <cellStyle name="Normal" xfId="0" builtinId="0"/>
    <cellStyle name="Normal 2" xfId="44"/>
    <cellStyle name="Normal 2 2" xfId="45"/>
    <cellStyle name="Normal 3" xfId="46"/>
    <cellStyle name="Normal 4" xfId="47"/>
    <cellStyle name="Normal 4 2" xfId="48"/>
    <cellStyle name="Normal 5" xfId="49"/>
    <cellStyle name="Normal 5 2" xfId="50"/>
    <cellStyle name="Normal 6" xfId="51"/>
    <cellStyle name="Normal 6 2" xfId="52"/>
    <cellStyle name="Normal 7" xfId="53"/>
    <cellStyle name="Normal 7 2" xfId="67"/>
    <cellStyle name="Note" xfId="54" builtinId="10" customBuiltin="1"/>
    <cellStyle name="Output" xfId="55" builtinId="21" customBuiltin="1"/>
    <cellStyle name="Percent" xfId="56" builtinId="5"/>
    <cellStyle name="Percent 2" xfId="57"/>
    <cellStyle name="Percent 3" xfId="58"/>
    <cellStyle name="Percent 3 2" xfId="68"/>
    <cellStyle name="SAPBEXchaText" xfId="59"/>
    <cellStyle name="SAPBEXstdData" xfId="60"/>
    <cellStyle name="SAPBEXstdItem" xfId="6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3.png@01D4DA45.567258C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</xdr:row>
      <xdr:rowOff>257175</xdr:rowOff>
    </xdr:from>
    <xdr:to>
      <xdr:col>3</xdr:col>
      <xdr:colOff>504825</xdr:colOff>
      <xdr:row>11</xdr:row>
      <xdr:rowOff>133350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FB28D75E-7005-4FC5-8342-A0021C09F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66775"/>
          <a:ext cx="3324225" cy="2619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8</xdr:col>
      <xdr:colOff>250169</xdr:colOff>
      <xdr:row>11</xdr:row>
      <xdr:rowOff>85563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959EE0E-7ED9-4200-95FC-D02B3A606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43400" y="914400"/>
          <a:ext cx="2688569" cy="2523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0"/>
  <sheetViews>
    <sheetView tabSelected="1" topLeftCell="A5" zoomScale="70" zoomScaleNormal="70" workbookViewId="0">
      <pane ySplit="420" activePane="bottomLeft"/>
      <selection activeCell="C5" sqref="C5"/>
      <selection pane="bottomLeft" activeCell="C29" sqref="C29"/>
    </sheetView>
  </sheetViews>
  <sheetFormatPr defaultRowHeight="15.75" x14ac:dyDescent="0.25"/>
  <cols>
    <col min="1" max="1" width="9.140625" style="261"/>
    <col min="2" max="2" width="12.85546875" style="468" customWidth="1"/>
    <col min="3" max="3" width="61.28515625" style="261" customWidth="1"/>
    <col min="4" max="4" width="11.28515625" style="261" bestFit="1" customWidth="1"/>
    <col min="5" max="6" width="11.7109375" style="261" bestFit="1" customWidth="1"/>
    <col min="7" max="8" width="11.28515625" style="261" bestFit="1" customWidth="1"/>
    <col min="9" max="10" width="11.7109375" style="261" bestFit="1" customWidth="1"/>
    <col min="11" max="11" width="11.28515625" style="261" bestFit="1" customWidth="1"/>
    <col min="12" max="12" width="9.140625" style="261"/>
    <col min="13" max="14" width="11.7109375" style="261" bestFit="1" customWidth="1"/>
    <col min="15" max="16" width="9.140625" style="261"/>
    <col min="17" max="18" width="11.7109375" style="261" bestFit="1" customWidth="1"/>
    <col min="19" max="16384" width="9.140625" style="261"/>
  </cols>
  <sheetData>
    <row r="1" spans="1:19" ht="20.25" customHeight="1" x14ac:dyDescent="0.3">
      <c r="A1" s="1133" t="s">
        <v>443</v>
      </c>
      <c r="B1" s="1133"/>
      <c r="C1" s="1133"/>
      <c r="D1" s="1133"/>
      <c r="E1" s="1133"/>
      <c r="F1" s="1133"/>
      <c r="G1" s="1133"/>
      <c r="H1" s="1133"/>
      <c r="I1" s="1133"/>
      <c r="J1" s="1133"/>
      <c r="K1" s="1133"/>
      <c r="L1" s="1133"/>
      <c r="M1" s="1133"/>
      <c r="N1" s="1133"/>
      <c r="O1" s="1133"/>
      <c r="P1" s="1133"/>
      <c r="Q1" s="1133"/>
      <c r="R1" s="1133"/>
      <c r="S1" s="1133"/>
    </row>
    <row r="2" spans="1:19" ht="20.25" customHeight="1" x14ac:dyDescent="0.3">
      <c r="A2" s="1134" t="s">
        <v>1000</v>
      </c>
      <c r="B2" s="1134"/>
      <c r="C2" s="1134"/>
      <c r="D2" s="1134"/>
      <c r="E2" s="1134"/>
      <c r="F2" s="1134"/>
      <c r="G2" s="1134"/>
      <c r="H2" s="1134"/>
      <c r="I2" s="1134"/>
      <c r="J2" s="1134"/>
      <c r="K2" s="1134"/>
      <c r="L2" s="1134"/>
      <c r="M2" s="1134"/>
      <c r="N2" s="1134"/>
      <c r="O2" s="1134"/>
      <c r="P2" s="1134"/>
      <c r="Q2" s="1134"/>
      <c r="R2" s="1134"/>
      <c r="S2" s="1134"/>
    </row>
    <row r="3" spans="1:19" ht="20.25" customHeight="1" thickBot="1" x14ac:dyDescent="0.35">
      <c r="A3" s="1133" t="s">
        <v>441</v>
      </c>
      <c r="B3" s="1133"/>
      <c r="C3" s="1133"/>
      <c r="D3" s="1133"/>
      <c r="E3" s="1133"/>
      <c r="F3" s="1133"/>
      <c r="G3" s="1133"/>
      <c r="H3" s="1133"/>
      <c r="I3" s="1133"/>
      <c r="J3" s="1133"/>
      <c r="K3" s="1133"/>
      <c r="L3" s="1133"/>
      <c r="M3" s="1133"/>
      <c r="N3" s="1133"/>
      <c r="O3" s="1133"/>
      <c r="P3" s="1133"/>
      <c r="Q3" s="1133"/>
      <c r="R3" s="1133"/>
      <c r="S3" s="1133"/>
    </row>
    <row r="4" spans="1:19" x14ac:dyDescent="0.25">
      <c r="C4" s="1135" t="s">
        <v>414</v>
      </c>
      <c r="D4" s="1127" t="s">
        <v>439</v>
      </c>
      <c r="E4" s="1128"/>
      <c r="F4" s="1128"/>
      <c r="G4" s="1128"/>
      <c r="H4" s="1128"/>
      <c r="I4" s="1128"/>
      <c r="J4" s="1128"/>
      <c r="K4" s="1129"/>
      <c r="L4" s="1128" t="s">
        <v>440</v>
      </c>
      <c r="M4" s="1128"/>
      <c r="N4" s="1128"/>
      <c r="O4" s="1128"/>
      <c r="P4" s="1128"/>
      <c r="Q4" s="1128"/>
      <c r="R4" s="1128"/>
      <c r="S4" s="1129"/>
    </row>
    <row r="5" spans="1:19" ht="19.5" thickBot="1" x14ac:dyDescent="0.4">
      <c r="C5" s="1136"/>
      <c r="D5" s="251" t="s">
        <v>415</v>
      </c>
      <c r="E5" s="252" t="s">
        <v>4</v>
      </c>
      <c r="F5" s="252" t="s">
        <v>60</v>
      </c>
      <c r="G5" s="252" t="s">
        <v>416</v>
      </c>
      <c r="H5" s="252" t="s">
        <v>1</v>
      </c>
      <c r="I5" s="252" t="s">
        <v>2</v>
      </c>
      <c r="J5" s="252" t="s">
        <v>61</v>
      </c>
      <c r="K5" s="253" t="s">
        <v>448</v>
      </c>
      <c r="L5" s="252" t="s">
        <v>415</v>
      </c>
      <c r="M5" s="252" t="s">
        <v>4</v>
      </c>
      <c r="N5" s="252" t="s">
        <v>60</v>
      </c>
      <c r="O5" s="252" t="s">
        <v>416</v>
      </c>
      <c r="P5" s="252" t="s">
        <v>1</v>
      </c>
      <c r="Q5" s="252" t="s">
        <v>2</v>
      </c>
      <c r="R5" s="252" t="s">
        <v>61</v>
      </c>
      <c r="S5" s="253" t="s">
        <v>448</v>
      </c>
    </row>
    <row r="6" spans="1:19" ht="24.75" customHeight="1" x14ac:dyDescent="0.25">
      <c r="A6" s="1119" t="s">
        <v>426</v>
      </c>
      <c r="B6" s="469"/>
      <c r="C6" s="262" t="s">
        <v>201</v>
      </c>
      <c r="D6" s="489">
        <f>'CTG - oil '!E32+'CTG - oil '!E46</f>
        <v>2.0886497892857143E-2</v>
      </c>
      <c r="E6" s="490">
        <f>'CTG - oil '!E31+'CTG - oil '!E45</f>
        <v>5.098174102275E-2</v>
      </c>
      <c r="F6" s="490">
        <f>'CTG - oil '!E30+'CTG - oil '!E44</f>
        <v>5.098174102275E-2</v>
      </c>
      <c r="G6" s="490">
        <f>'CTG - oil '!E26</f>
        <v>0.24563200000000004</v>
      </c>
      <c r="H6" s="490">
        <f>'CTG - oil '!E27</f>
        <v>3.4009500000000005E-2</v>
      </c>
      <c r="I6" s="490">
        <f>'CTG - oil '!E28+'CTG - oil '!E43</f>
        <v>6.3799597976106192E-3</v>
      </c>
      <c r="J6" s="490">
        <f>'CTG - oil '!E30+'CTG - oil '!E44</f>
        <v>5.098174102275E-2</v>
      </c>
      <c r="K6" s="491">
        <f>'CTG - oil '!E29</f>
        <v>1.0592500000000001E-2</v>
      </c>
      <c r="L6" s="490">
        <f>'CTG - oil '!I32</f>
        <v>0.24393786047999999</v>
      </c>
      <c r="M6" s="490">
        <f>'CTG - oil '!I45</f>
        <v>0.65558300004000003</v>
      </c>
      <c r="N6" s="490">
        <f>R6</f>
        <v>0.65558300004000003</v>
      </c>
      <c r="O6" s="490">
        <f>'CTG - oil '!I26</f>
        <v>3.191497390944785</v>
      </c>
      <c r="P6" s="490">
        <f>'CTG - oil '!I27</f>
        <v>0.44188554633491023</v>
      </c>
      <c r="Q6" s="490">
        <f>'CTG - oil '!I43</f>
        <v>0.64033688375999998</v>
      </c>
      <c r="R6" s="490">
        <f>'CTG - oil '!I30</f>
        <v>0.65558300004000003</v>
      </c>
      <c r="S6" s="491">
        <f>'CTG - oil '!I29</f>
        <v>0.13762838764323312</v>
      </c>
    </row>
    <row r="7" spans="1:19" ht="24.75" customHeight="1" thickBot="1" x14ac:dyDescent="0.3">
      <c r="A7" s="1120"/>
      <c r="B7" s="470"/>
      <c r="C7" s="263" t="s">
        <v>202</v>
      </c>
      <c r="D7" s="492">
        <f>'CTG - ng'!E36+'CTG - ng'!E48</f>
        <v>1.431512342857143</v>
      </c>
      <c r="E7" s="493">
        <f>'CTG - ng'!E35+'CTG - ng'!E47</f>
        <v>24.375249999999998</v>
      </c>
      <c r="F7" s="493">
        <f>'CTG - ng'!E35+'CTG - ng'!E47</f>
        <v>24.375249999999998</v>
      </c>
      <c r="G7" s="493">
        <f>'CTG - ng'!E31</f>
        <v>5.057504999999999</v>
      </c>
      <c r="H7" s="493">
        <f>'CTG - ng'!E32</f>
        <v>1.8122445000000003</v>
      </c>
      <c r="I7" s="493">
        <f>'CTG - ng'!E33+'CTG - ng'!E46</f>
        <v>0.31587172413460596</v>
      </c>
      <c r="J7" s="493">
        <f>'CTG - ng'!E35+'CTG - ng'!E47</f>
        <v>24.375249999999998</v>
      </c>
      <c r="K7" s="494">
        <f>'CTG - ng'!E34</f>
        <v>0.42789250000000006</v>
      </c>
      <c r="L7" s="493">
        <f>'CTG - ng'!G36</f>
        <v>1.9</v>
      </c>
      <c r="M7" s="493">
        <f>'CTG - ng'!G35</f>
        <v>31.4</v>
      </c>
      <c r="N7" s="493">
        <f>'CTG - ng'!G35</f>
        <v>31.4</v>
      </c>
      <c r="O7" s="493">
        <f>'CTG - ng'!G31</f>
        <v>13.7</v>
      </c>
      <c r="P7" s="493">
        <f>'CTG - ng'!G32</f>
        <v>12.1</v>
      </c>
      <c r="Q7" s="493">
        <f>'CTG - ng'!G33</f>
        <v>2.2000000000000002</v>
      </c>
      <c r="R7" s="493">
        <f>'CTG - ng'!G35</f>
        <v>31.4</v>
      </c>
      <c r="S7" s="494">
        <f>'CTG - ng'!G34</f>
        <v>3</v>
      </c>
    </row>
    <row r="8" spans="1:19" ht="24.75" customHeight="1" thickTop="1" x14ac:dyDescent="0.25">
      <c r="A8" s="1120"/>
      <c r="B8" s="478">
        <v>32</v>
      </c>
      <c r="C8" s="473" t="s">
        <v>203</v>
      </c>
      <c r="D8" s="511">
        <f>SUM(D6:D7)</f>
        <v>1.4523988407500001</v>
      </c>
      <c r="E8" s="255">
        <f t="shared" ref="E8:K8" si="0">SUM(E6:E7)</f>
        <v>24.426231741022747</v>
      </c>
      <c r="F8" s="255">
        <f t="shared" si="0"/>
        <v>24.426231741022747</v>
      </c>
      <c r="G8" s="255">
        <f t="shared" si="0"/>
        <v>5.3031369999999987</v>
      </c>
      <c r="H8" s="255">
        <f t="shared" si="0"/>
        <v>1.8462540000000003</v>
      </c>
      <c r="I8" s="255">
        <f t="shared" si="0"/>
        <v>0.32225168393221659</v>
      </c>
      <c r="J8" s="255">
        <f t="shared" si="0"/>
        <v>24.426231741022747</v>
      </c>
      <c r="K8" s="512">
        <f t="shared" si="0"/>
        <v>0.43848500000000007</v>
      </c>
      <c r="L8" s="267">
        <f t="shared" ref="L8:S8" si="1">L7</f>
        <v>1.9</v>
      </c>
      <c r="M8" s="255">
        <f t="shared" si="1"/>
        <v>31.4</v>
      </c>
      <c r="N8" s="267">
        <f t="shared" si="1"/>
        <v>31.4</v>
      </c>
      <c r="O8" s="267">
        <f t="shared" si="1"/>
        <v>13.7</v>
      </c>
      <c r="P8" s="267">
        <f t="shared" si="1"/>
        <v>12.1</v>
      </c>
      <c r="Q8" s="267">
        <f t="shared" si="1"/>
        <v>2.2000000000000002</v>
      </c>
      <c r="R8" s="267">
        <f t="shared" si="1"/>
        <v>31.4</v>
      </c>
      <c r="S8" s="747">
        <f t="shared" si="1"/>
        <v>3</v>
      </c>
    </row>
    <row r="9" spans="1:19" ht="24.75" customHeight="1" x14ac:dyDescent="0.25">
      <c r="A9" s="1120"/>
      <c r="B9" s="479">
        <v>34</v>
      </c>
      <c r="C9" s="473" t="s">
        <v>555</v>
      </c>
      <c r="D9" s="511">
        <f>'Boiler Emissions'!C46</f>
        <v>1.1365790399999999E-2</v>
      </c>
      <c r="E9" s="255">
        <f t="shared" ref="E9:E14" si="2">F9</f>
        <v>3.5692248240000002E-2</v>
      </c>
      <c r="F9" s="255">
        <f>'Boiler Emissions'!O25</f>
        <v>3.5692248240000002E-2</v>
      </c>
      <c r="G9" s="255">
        <f>'Boiler Emissions'!C25</f>
        <v>7.5454999999999994E-2</v>
      </c>
      <c r="H9" s="255">
        <f>'Boiler Emissions'!F25</f>
        <v>3.5000000000000004E-5</v>
      </c>
      <c r="I9" s="255">
        <f>'Boiler Emissions'!L25</f>
        <v>7.1384496480000003E-4</v>
      </c>
      <c r="J9" s="255">
        <f>'Boiler Emissions'!R25</f>
        <v>3.5692248240000002E-2</v>
      </c>
      <c r="K9" s="512">
        <f>'Boiler Emissions'!I25</f>
        <v>3.4100000000000003E-3</v>
      </c>
      <c r="L9" s="267">
        <f>'Boiler Emissions'!C53</f>
        <v>0.68994538969443053</v>
      </c>
      <c r="M9" s="255">
        <f t="shared" ref="M9:M14" si="3">N9</f>
        <v>2.2056480000000001</v>
      </c>
      <c r="N9" s="267">
        <f>'Boiler Emissions'!O27</f>
        <v>2.2056480000000001</v>
      </c>
      <c r="O9" s="267">
        <f>'Boiler Emissions'!C27</f>
        <v>2.3820998400000004</v>
      </c>
      <c r="P9" s="267">
        <f>'Boiler Emissions'!F27</f>
        <v>2.1246290657713578E-3</v>
      </c>
      <c r="Q9" s="267">
        <f>'Boiler Emissions'!L27</f>
        <v>4.411296E-2</v>
      </c>
      <c r="R9" s="267">
        <f>'Boiler Emissions'!R27</f>
        <v>2.2056480000000001</v>
      </c>
      <c r="S9" s="747">
        <f>'Boiler Emissions'!I27</f>
        <v>4.4112960000000007E-2</v>
      </c>
    </row>
    <row r="10" spans="1:19" ht="24.75" customHeight="1" x14ac:dyDescent="0.25">
      <c r="A10" s="1120"/>
      <c r="B10" s="479">
        <v>34</v>
      </c>
      <c r="C10" s="473" t="s">
        <v>556</v>
      </c>
      <c r="D10" s="511">
        <f>'Boiler Emissions'!C51</f>
        <v>8.5160214599999992E-2</v>
      </c>
      <c r="E10" s="255">
        <f t="shared" si="2"/>
        <v>1.41933691</v>
      </c>
      <c r="F10" s="255">
        <f>'Boiler Emissions'!O34</f>
        <v>1.41933691</v>
      </c>
      <c r="G10" s="255">
        <f>'Boiler Emissions'!C34</f>
        <v>0.72055999999999998</v>
      </c>
      <c r="H10" s="255">
        <f>'Boiler Emissions'!F34</f>
        <v>1.97E-3</v>
      </c>
      <c r="I10" s="255">
        <f>'Boiler Emissions'!L34</f>
        <v>0.22709390560000001</v>
      </c>
      <c r="J10" s="255">
        <f>'Boiler Emissions'!R34</f>
        <v>1.41933691</v>
      </c>
      <c r="K10" s="512">
        <f>'Boiler Emissions'!I34</f>
        <v>2.5725000000000001E-2</v>
      </c>
      <c r="L10" s="267">
        <f>'Boiler Emissions'!C55</f>
        <v>1.1055169676523122</v>
      </c>
      <c r="M10" s="255">
        <f t="shared" si="3"/>
        <v>20.648204008731891</v>
      </c>
      <c r="N10" s="267">
        <f>'Boiler Emissions'!O36</f>
        <v>20.648204008731891</v>
      </c>
      <c r="O10" s="267">
        <f>'Boiler Emissions'!C36</f>
        <v>10.306271085532845</v>
      </c>
      <c r="P10" s="267">
        <f>'Boiler Emissions'!F36</f>
        <v>19.043421313752734</v>
      </c>
      <c r="Q10" s="267">
        <f>'Boiler Emissions'!L36</f>
        <v>2.888608850962493</v>
      </c>
      <c r="R10" s="267">
        <f>'Boiler Emissions'!R36</f>
        <v>20.648204008731891</v>
      </c>
      <c r="S10" s="747">
        <f>'Boiler Emissions'!I36</f>
        <v>0.71323675332407233</v>
      </c>
    </row>
    <row r="11" spans="1:19" ht="24.75" customHeight="1" x14ac:dyDescent="0.25">
      <c r="A11" s="1120"/>
      <c r="B11" s="479">
        <v>35</v>
      </c>
      <c r="C11" s="473" t="s">
        <v>557</v>
      </c>
      <c r="D11" s="511">
        <f>'Boiler Emissions'!D46</f>
        <v>1.379109555E-2</v>
      </c>
      <c r="E11" s="255">
        <f t="shared" si="2"/>
        <v>3.4646791013999992E-2</v>
      </c>
      <c r="F11" s="255">
        <f>'Boiler Emissions'!P25</f>
        <v>3.4646791013999992E-2</v>
      </c>
      <c r="G11" s="255">
        <f>'Boiler Emissions'!D25</f>
        <v>0.14205399999999999</v>
      </c>
      <c r="H11" s="255">
        <f>'Boiler Emissions'!G25</f>
        <v>1.6000000000000001E-4</v>
      </c>
      <c r="I11" s="255">
        <f>'Boiler Emissions'!M25</f>
        <v>0</v>
      </c>
      <c r="J11" s="255">
        <f>'Boiler Emissions'!S25</f>
        <v>3.4646791013999992E-2</v>
      </c>
      <c r="K11" s="512">
        <f>'Boiler Emissions'!J25</f>
        <v>2.6899999999999932E-3</v>
      </c>
      <c r="L11" s="267">
        <f>'Boiler Emissions'!D53</f>
        <v>0.62111000767762736</v>
      </c>
      <c r="M11" s="255">
        <f t="shared" si="3"/>
        <v>2.0511539999999999</v>
      </c>
      <c r="N11" s="267">
        <f>'Boiler Emissions'!P27</f>
        <v>2.0511539999999999</v>
      </c>
      <c r="O11" s="267">
        <f>'Boiler Emissions'!D27</f>
        <v>2.0511539999999999</v>
      </c>
      <c r="P11" s="267">
        <f>'Boiler Emissions'!G27</f>
        <v>2.7949999999999999E-2</v>
      </c>
      <c r="Q11" s="267">
        <f>'Boiler Emissions'!M27</f>
        <v>0</v>
      </c>
      <c r="R11" s="267">
        <f>'Boiler Emissions'!S27</f>
        <v>2.0511539999999999</v>
      </c>
      <c r="S11" s="747">
        <f>'Boiler Emissions'!J27</f>
        <v>0.51278849999999998</v>
      </c>
    </row>
    <row r="12" spans="1:19" ht="24.75" customHeight="1" x14ac:dyDescent="0.25">
      <c r="A12" s="1120"/>
      <c r="B12" s="479">
        <v>35</v>
      </c>
      <c r="C12" s="473" t="s">
        <v>558</v>
      </c>
      <c r="D12" s="511">
        <f>'Boiler Emissions'!D51</f>
        <v>5.1243694800000003E-2</v>
      </c>
      <c r="E12" s="255">
        <f t="shared" si="2"/>
        <v>0.51243694800000006</v>
      </c>
      <c r="F12" s="255">
        <f>'Boiler Emissions'!P34</f>
        <v>0.51243694800000006</v>
      </c>
      <c r="G12" s="255">
        <f>'Boiler Emissions'!D34</f>
        <v>0.41331950000000006</v>
      </c>
      <c r="H12" s="255">
        <f>'Boiler Emissions'!G34</f>
        <v>1.5690000000000001E-3</v>
      </c>
      <c r="I12" s="255">
        <f>'Boiler Emissions'!M34</f>
        <v>0.17081231600000005</v>
      </c>
      <c r="J12" s="255">
        <f>'Boiler Emissions'!S34</f>
        <v>0.51243694800000006</v>
      </c>
      <c r="K12" s="512">
        <f>'Boiler Emissions'!J34</f>
        <v>9.388499999999975E-3</v>
      </c>
      <c r="L12" s="267">
        <f>'Boiler Emissions'!D55</f>
        <v>0.99724151617384404</v>
      </c>
      <c r="M12" s="255">
        <f t="shared" si="3"/>
        <v>18.625897995634055</v>
      </c>
      <c r="N12" s="267">
        <f>'Boiler Emissions'!P36</f>
        <v>18.625897995634055</v>
      </c>
      <c r="O12" s="267">
        <f>'Boiler Emissions'!D36</f>
        <v>9.2968644572335783</v>
      </c>
      <c r="P12" s="267">
        <f>'Boiler Emissions'!G36</f>
        <v>17.178289343123637</v>
      </c>
      <c r="Q12" s="267">
        <f>'Boiler Emissions'!M36</f>
        <v>2.6056955745187538</v>
      </c>
      <c r="R12" s="267">
        <f>'Boiler Emissions'!S36</f>
        <v>18.625897995634055</v>
      </c>
      <c r="S12" s="747">
        <f>'Boiler Emissions'!J36</f>
        <v>0.64338162333796389</v>
      </c>
    </row>
    <row r="13" spans="1:19" ht="24.75" customHeight="1" x14ac:dyDescent="0.25">
      <c r="A13" s="1120"/>
      <c r="B13" s="479">
        <v>36</v>
      </c>
      <c r="C13" s="473" t="s">
        <v>559</v>
      </c>
      <c r="D13" s="511">
        <f>'Boiler Emissions'!E46</f>
        <v>7.5132374999999996E-3</v>
      </c>
      <c r="E13" s="255">
        <f t="shared" si="2"/>
        <v>1.8875191499999996E-2</v>
      </c>
      <c r="F13" s="255">
        <f>'Boiler Emissions'!Q25</f>
        <v>1.8875191499999996E-2</v>
      </c>
      <c r="G13" s="255">
        <f>'Boiler Emissions'!E25</f>
        <v>7.6385499999999967E-2</v>
      </c>
      <c r="H13" s="255">
        <f>'Boiler Emissions'!H25</f>
        <v>2.1850000000000003E-4</v>
      </c>
      <c r="I13" s="255">
        <f>'Boiler Emissions'!N25</f>
        <v>0</v>
      </c>
      <c r="J13" s="255">
        <f>'Boiler Emissions'!T25</f>
        <v>1.8875191499999996E-2</v>
      </c>
      <c r="K13" s="512">
        <f>'Boiler Emissions'!K25</f>
        <v>1.6224999999999989E-3</v>
      </c>
      <c r="L13" s="267">
        <f>'Boiler Emissions'!E53</f>
        <v>0.62111000767762736</v>
      </c>
      <c r="M13" s="255">
        <f t="shared" si="3"/>
        <v>2.0511539999999999</v>
      </c>
      <c r="N13" s="267">
        <f>'Boiler Emissions'!Q27</f>
        <v>2.0511539999999999</v>
      </c>
      <c r="O13" s="267">
        <f>'Boiler Emissions'!E27</f>
        <v>2.0511539999999999</v>
      </c>
      <c r="P13" s="267">
        <f>'Boiler Emissions'!H27</f>
        <v>1.0255770000000001E-2</v>
      </c>
      <c r="Q13" s="267">
        <f>'Boiler Emissions'!N27</f>
        <v>0</v>
      </c>
      <c r="R13" s="267">
        <f>'Boiler Emissions'!T27</f>
        <v>2.0511539999999999</v>
      </c>
      <c r="S13" s="747">
        <f>'Boiler Emissions'!K27</f>
        <v>0.51278849999999998</v>
      </c>
    </row>
    <row r="14" spans="1:19" ht="24.75" customHeight="1" x14ac:dyDescent="0.25">
      <c r="A14" s="1120"/>
      <c r="B14" s="479">
        <v>36</v>
      </c>
      <c r="C14" s="473" t="s">
        <v>560</v>
      </c>
      <c r="D14" s="511">
        <f>'Boiler Emissions'!E51</f>
        <v>4.9149601799999998E-2</v>
      </c>
      <c r="E14" s="255">
        <f t="shared" si="2"/>
        <v>0.49149601800000009</v>
      </c>
      <c r="F14" s="255">
        <f>'Boiler Emissions'!Q34</f>
        <v>0.49149601800000009</v>
      </c>
      <c r="G14" s="255">
        <f>'Boiler Emissions'!E34</f>
        <v>0.39551250000000027</v>
      </c>
      <c r="H14" s="255">
        <f>'Boiler Emissions'!H34</f>
        <v>3.622499999999999E-3</v>
      </c>
      <c r="I14" s="255">
        <f>'Boiler Emissions'!N34</f>
        <v>0.16383200600000003</v>
      </c>
      <c r="J14" s="255">
        <f>'Boiler Emissions'!T34</f>
        <v>0.49149601800000009</v>
      </c>
      <c r="K14" s="512">
        <f>'Boiler Emissions'!K34</f>
        <v>1.2538999999999974E-2</v>
      </c>
      <c r="L14" s="267">
        <f>'Boiler Emissions'!E55</f>
        <v>0.99724151617384404</v>
      </c>
      <c r="M14" s="255">
        <f t="shared" si="3"/>
        <v>18.625897995634055</v>
      </c>
      <c r="N14" s="267">
        <f>'Boiler Emissions'!Q36</f>
        <v>18.625897995634055</v>
      </c>
      <c r="O14" s="267">
        <f>'Boiler Emissions'!E36</f>
        <v>9.2968644572335783</v>
      </c>
      <c r="P14" s="267">
        <f>'Boiler Emissions'!H36</f>
        <v>17.178289343123637</v>
      </c>
      <c r="Q14" s="267">
        <f>'Boiler Emissions'!N36</f>
        <v>2.6056955745187538</v>
      </c>
      <c r="R14" s="267">
        <f>'Boiler Emissions'!T36</f>
        <v>18.625897995634055</v>
      </c>
      <c r="S14" s="747">
        <f>'Boiler Emissions'!K36</f>
        <v>0.64338162333796389</v>
      </c>
    </row>
    <row r="15" spans="1:19" ht="24.75" customHeight="1" thickBot="1" x14ac:dyDescent="0.3">
      <c r="A15" s="1120"/>
      <c r="B15" s="480">
        <v>37</v>
      </c>
      <c r="C15" s="474" t="s">
        <v>213</v>
      </c>
      <c r="D15" s="748">
        <f>'Black Start Emerg. Generator'!D20</f>
        <v>1.8550000000000001E-4</v>
      </c>
      <c r="E15" s="749">
        <f>'Black Start Emerg. Generator'!D19</f>
        <v>5.3000000000000009E-3</v>
      </c>
      <c r="F15" s="749">
        <f>'Black Start Emerg. Generator'!D19</f>
        <v>5.3000000000000009E-3</v>
      </c>
      <c r="G15" s="749">
        <f>'Black Start Emerg. Generator'!D16</f>
        <v>0.1710575</v>
      </c>
      <c r="H15" s="749">
        <f>'Black Start Emerg. Generator'!D17</f>
        <v>9.2087500000000003E-2</v>
      </c>
      <c r="I15" s="749">
        <f>'Black Start Emerg. Generator'!D18</f>
        <v>1.0865E-2</v>
      </c>
      <c r="J15" s="749">
        <f>'Black Start Emerg. Generator'!D19</f>
        <v>5.3000000000000009E-3</v>
      </c>
      <c r="K15" s="750">
        <f>'Black Start Emerg. Generator'!D21</f>
        <v>2.7825000000000001E-4</v>
      </c>
      <c r="L15" s="751">
        <f>'Black Start Emerg. Generator'!E35</f>
        <v>2.141956040099151E-3</v>
      </c>
      <c r="M15" s="749">
        <f>'Black Start Emerg. Generator'!E34</f>
        <v>0.06</v>
      </c>
      <c r="N15" s="751">
        <f>'Black Start Emerg. Generator'!E34</f>
        <v>0.06</v>
      </c>
      <c r="O15" s="751">
        <f>'Black Start Emerg. Generator'!E31</f>
        <v>1.9365000000000001</v>
      </c>
      <c r="P15" s="751">
        <f>'Black Start Emerg. Generator'!E32</f>
        <v>1.0425</v>
      </c>
      <c r="Q15" s="751">
        <f>'Black Start Emerg. Generator'!E33</f>
        <v>0.12299999999999998</v>
      </c>
      <c r="R15" s="751">
        <f>'Black Start Emerg. Generator'!E34</f>
        <v>0.06</v>
      </c>
      <c r="S15" s="752">
        <f>'Black Start Emerg. Generator'!E36</f>
        <v>2.8759500000000007E-2</v>
      </c>
    </row>
    <row r="16" spans="1:19" ht="24.75" customHeight="1" thickBot="1" x14ac:dyDescent="0.3">
      <c r="A16" s="1121"/>
      <c r="B16" s="471"/>
      <c r="C16" s="264" t="s">
        <v>427</v>
      </c>
      <c r="D16" s="753">
        <f>SUM(D8:D15)</f>
        <v>1.6708079753999998</v>
      </c>
      <c r="E16" s="505">
        <f t="shared" ref="E16:S16" si="4">SUM(E8:E15)</f>
        <v>26.944015847776747</v>
      </c>
      <c r="F16" s="505">
        <f t="shared" si="4"/>
        <v>26.944015847776747</v>
      </c>
      <c r="G16" s="505">
        <f t="shared" si="4"/>
        <v>7.2974809999999986</v>
      </c>
      <c r="H16" s="505">
        <f t="shared" si="4"/>
        <v>1.9459165000000003</v>
      </c>
      <c r="I16" s="505">
        <f t="shared" si="4"/>
        <v>0.89556875649701662</v>
      </c>
      <c r="J16" s="505">
        <f t="shared" si="4"/>
        <v>26.944015847776747</v>
      </c>
      <c r="K16" s="754">
        <f t="shared" si="4"/>
        <v>0.49413824999999995</v>
      </c>
      <c r="L16" s="268">
        <f t="shared" si="4"/>
        <v>6.9343073610897852</v>
      </c>
      <c r="M16" s="505">
        <f t="shared" si="4"/>
        <v>95.667956000000004</v>
      </c>
      <c r="N16" s="268">
        <f t="shared" si="4"/>
        <v>95.667956000000004</v>
      </c>
      <c r="O16" s="268">
        <f t="shared" si="4"/>
        <v>51.02090784</v>
      </c>
      <c r="P16" s="268">
        <f t="shared" si="4"/>
        <v>66.582830399065784</v>
      </c>
      <c r="Q16" s="268">
        <f t="shared" si="4"/>
        <v>10.46711296</v>
      </c>
      <c r="R16" s="268">
        <f t="shared" si="4"/>
        <v>95.667956000000004</v>
      </c>
      <c r="S16" s="755">
        <f t="shared" si="4"/>
        <v>6.0984494600000003</v>
      </c>
    </row>
    <row r="17" spans="1:19" ht="24.75" customHeight="1" x14ac:dyDescent="0.25">
      <c r="D17" s="255"/>
      <c r="E17" s="255"/>
      <c r="F17" s="255"/>
      <c r="G17" s="255"/>
      <c r="H17" s="255"/>
      <c r="I17" s="255"/>
      <c r="J17" s="255"/>
      <c r="K17" s="255"/>
      <c r="L17" s="267"/>
      <c r="M17" s="255"/>
      <c r="N17" s="267"/>
      <c r="O17" s="267"/>
      <c r="P17" s="267"/>
      <c r="Q17" s="267"/>
      <c r="R17" s="267"/>
      <c r="S17" s="267"/>
    </row>
    <row r="18" spans="1:19" ht="24.75" customHeight="1" thickBot="1" x14ac:dyDescent="0.3">
      <c r="B18" s="468">
        <v>20</v>
      </c>
      <c r="C18" s="261" t="s">
        <v>646</v>
      </c>
      <c r="D18" s="255"/>
      <c r="E18" s="255"/>
      <c r="F18" s="255"/>
      <c r="G18" s="255"/>
      <c r="H18" s="255"/>
      <c r="I18" s="255"/>
      <c r="J18" s="255"/>
      <c r="K18" s="255"/>
      <c r="L18" s="267"/>
      <c r="M18" s="255"/>
      <c r="N18" s="267"/>
      <c r="O18" s="267"/>
      <c r="P18" s="267"/>
      <c r="Q18" s="267"/>
      <c r="R18" s="267"/>
      <c r="S18" s="267"/>
    </row>
    <row r="19" spans="1:19" ht="24.75" customHeight="1" x14ac:dyDescent="0.25">
      <c r="A19" s="1122" t="s">
        <v>429</v>
      </c>
      <c r="B19" s="475">
        <v>21</v>
      </c>
      <c r="C19" s="265" t="s">
        <v>418</v>
      </c>
      <c r="D19" s="502">
        <f>'Small Boilers - Oil'!F19</f>
        <v>9.3696570000000013E-4</v>
      </c>
      <c r="E19" s="503">
        <f>'Small Boilers - Oil'!N19</f>
        <v>8.7977999999999997E-3</v>
      </c>
      <c r="F19" s="818">
        <f>'Small Boilers - Oil'!R19</f>
        <v>4.750812000000001E-3</v>
      </c>
      <c r="G19" s="503">
        <f>'Small Boilers - Oil'!H19</f>
        <v>8.7977999999999987E-2</v>
      </c>
      <c r="H19" s="503">
        <f>'Small Boilers - Oil'!J19</f>
        <v>2.1994499999999997E-2</v>
      </c>
      <c r="I19" s="503">
        <f>'Small Boilers - Oil'!L19</f>
        <v>1.4956260000000001E-3</v>
      </c>
      <c r="J19" s="503">
        <f>'Small Boilers - Oil'!P19</f>
        <v>3.6510870000000003E-3</v>
      </c>
      <c r="K19" s="504">
        <f>'Small Boilers - Oil'!T19</f>
        <v>3.5191200000000006E-3</v>
      </c>
      <c r="L19" s="756">
        <f>'Small Boilers - Oil'!F38</f>
        <v>1.6367089870807452E-2</v>
      </c>
      <c r="M19" s="503">
        <f>'Small Boilers - Oil'!N38</f>
        <v>0.15368159503105591</v>
      </c>
      <c r="N19" s="817">
        <f>'Small Boilers - Oil'!R38</f>
        <v>8.2988061316770181E-2</v>
      </c>
      <c r="O19" s="756">
        <f>'Small Boilers - Oil'!H38</f>
        <v>1.536815950310559</v>
      </c>
      <c r="P19" s="756">
        <f>'Small Boilers - Oil'!J38</f>
        <v>0.38420398757763974</v>
      </c>
      <c r="Q19" s="756">
        <f>'Small Boilers - Oil'!L38</f>
        <v>2.6125871155279503E-2</v>
      </c>
      <c r="R19" s="756">
        <f>'Small Boilers - Oil'!P38</f>
        <v>6.3777861937888203E-2</v>
      </c>
      <c r="S19" s="757">
        <f>'Small Boilers - Oil'!T38</f>
        <v>6.1472638012422372E-2</v>
      </c>
    </row>
    <row r="20" spans="1:19" ht="24.75" customHeight="1" x14ac:dyDescent="0.25">
      <c r="A20" s="1123"/>
      <c r="B20" s="476">
        <v>27</v>
      </c>
      <c r="C20" s="261" t="s">
        <v>419</v>
      </c>
      <c r="D20" s="511">
        <f>'Small Boilers - NG1'!H8</f>
        <v>1.0132969814995133E-3</v>
      </c>
      <c r="E20" s="255">
        <f>'Small Boilers - NG1'!P8</f>
        <v>3.2087737747484584E-3</v>
      </c>
      <c r="F20" s="255">
        <f>'Small Boilers - NG1'!R8</f>
        <v>3.2087737747484584E-3</v>
      </c>
      <c r="G20" s="255">
        <f>'Small Boilers - NG1'!J8</f>
        <v>0.16888283024991887</v>
      </c>
      <c r="H20" s="255">
        <f>'Small Boilers - NG1'!L8</f>
        <v>0.14186157740993183</v>
      </c>
      <c r="I20" s="255">
        <f>'Small Boilers - NG1'!N8</f>
        <v>9.2885556637455381E-3</v>
      </c>
      <c r="J20" s="255">
        <f>'Small Boilers - NG1'!R8</f>
        <v>3.2087737747484584E-3</v>
      </c>
      <c r="K20" s="512">
        <f>'Small Boilers - NG1'!T8</f>
        <v>5.4042505679974037E-3</v>
      </c>
      <c r="L20" s="267">
        <f>'Small Boilers - NG1'!H26</f>
        <v>1.0789442815249265E-2</v>
      </c>
      <c r="M20" s="255">
        <f>'Small Boilers - NG1'!P26</f>
        <v>3.4166568914956008E-2</v>
      </c>
      <c r="N20" s="267">
        <f>'Small Boilers - NG1'!P26</f>
        <v>3.4166568914956008E-2</v>
      </c>
      <c r="O20" s="267">
        <f>'Small Boilers - NG1'!J26</f>
        <v>1.798240469208211</v>
      </c>
      <c r="P20" s="267">
        <f>'Small Boilers - NG1'!L26</f>
        <v>1.5105219941348971</v>
      </c>
      <c r="Q20" s="267">
        <f>'Small Boilers - NG1'!N26</f>
        <v>9.8903225806451597E-2</v>
      </c>
      <c r="R20" s="267">
        <f>'Small Boilers - NG1'!R26</f>
        <v>3.4166568914956008E-2</v>
      </c>
      <c r="S20" s="747">
        <f>'Small Boilers - NG1'!T26</f>
        <v>5.7543695014662749E-2</v>
      </c>
    </row>
    <row r="21" spans="1:19" ht="24.75" customHeight="1" thickBot="1" x14ac:dyDescent="0.3">
      <c r="A21" s="1124"/>
      <c r="B21" s="477">
        <v>28</v>
      </c>
      <c r="C21" s="266" t="s">
        <v>420</v>
      </c>
      <c r="D21" s="753">
        <f>'Small Boilers - NG1'!H18</f>
        <v>2.6617088607594941E-3</v>
      </c>
      <c r="E21" s="767">
        <f>'Small Boilers - NG1'!P18</f>
        <v>8.4287447257383966E-3</v>
      </c>
      <c r="F21" s="767">
        <f>'Small Boilers - NG1'!P18</f>
        <v>8.4287447257383966E-3</v>
      </c>
      <c r="G21" s="505">
        <f>'Small Boilers - NG1'!J18</f>
        <v>0.44181551444336259</v>
      </c>
      <c r="H21" s="505">
        <f>'Small Boilers - NG1'!L18</f>
        <v>0.35941996105160656</v>
      </c>
      <c r="I21" s="505">
        <f>'Small Boilers - NG1'!N18</f>
        <v>2.439899789029536E-2</v>
      </c>
      <c r="J21" s="505">
        <f>'Small Boilers - NG1'!R18</f>
        <v>8.4287447257383966E-3</v>
      </c>
      <c r="K21" s="754">
        <f>'Small Boilers - NG1'!T18</f>
        <v>1.41957805907173E-2</v>
      </c>
      <c r="L21" s="268">
        <f>'Small Boilers - NG1'!H36</f>
        <v>1.6227835777126099E-2</v>
      </c>
      <c r="M21" s="505">
        <f>'Small Boilers - NG1'!P36</f>
        <v>5.1388146627565988E-2</v>
      </c>
      <c r="N21" s="268">
        <f>'Small Boilers - NG1'!P36</f>
        <v>5.1388146627565988E-2</v>
      </c>
      <c r="O21" s="268">
        <f>'Small Boilers - NG1'!J36</f>
        <v>2.6959049853372439</v>
      </c>
      <c r="P21" s="268">
        <f>'Small Boilers - NG1'!L36</f>
        <v>2.2078453958944277</v>
      </c>
      <c r="Q21" s="268">
        <f>'Small Boilers - NG1'!N36</f>
        <v>0.1487551612903226</v>
      </c>
      <c r="R21" s="268">
        <f>'Small Boilers - NG1'!R36</f>
        <v>5.1388146627565988E-2</v>
      </c>
      <c r="S21" s="755">
        <f>'Small Boilers - NG1'!T36</f>
        <v>8.6548457478005866E-2</v>
      </c>
    </row>
    <row r="22" spans="1:19" ht="24.75" customHeight="1" thickBot="1" x14ac:dyDescent="0.3">
      <c r="D22" s="255"/>
      <c r="E22" s="255"/>
      <c r="F22" s="255"/>
      <c r="G22" s="255"/>
      <c r="H22" s="255"/>
      <c r="I22" s="255"/>
      <c r="J22" s="255"/>
      <c r="K22" s="255"/>
      <c r="L22" s="267"/>
      <c r="M22" s="255"/>
      <c r="N22" s="267"/>
      <c r="O22" s="267"/>
      <c r="P22" s="267"/>
      <c r="Q22" s="267"/>
      <c r="R22" s="267"/>
      <c r="S22" s="267"/>
    </row>
    <row r="23" spans="1:19" ht="24.75" customHeight="1" x14ac:dyDescent="0.25">
      <c r="A23" s="1119" t="s">
        <v>428</v>
      </c>
      <c r="B23" s="478">
        <v>7</v>
      </c>
      <c r="C23" s="265" t="s">
        <v>430</v>
      </c>
      <c r="D23" s="502">
        <f>'Emergency Generators - Diesel'!J10</f>
        <v>4.0833449999999995E-3</v>
      </c>
      <c r="E23" s="503">
        <f>'Emergency Generators - Diesel'!I11</f>
        <v>4.3649550000000002E-3</v>
      </c>
      <c r="F23" s="503">
        <f>'Emergency Generators - Diesel'!N11</f>
        <v>4.3649550000000002E-3</v>
      </c>
      <c r="G23" s="503">
        <f>'Emergency Generators - Diesel'!K11</f>
        <v>6.1954200000000008E-2</v>
      </c>
      <c r="H23" s="503">
        <f>'Emergency Generators - Diesel'!L11</f>
        <v>1.3376474999999999E-2</v>
      </c>
      <c r="I23" s="503">
        <f>'Emergency Generators - Diesel'!M11</f>
        <v>6.0546150000000002E-3</v>
      </c>
      <c r="J23" s="503">
        <f>'Emergency Generators - Diesel'!N11</f>
        <v>4.3649550000000002E-3</v>
      </c>
      <c r="K23" s="504">
        <f>'Emergency Generators - Diesel'!O11</f>
        <v>2.9569050000000004E-4</v>
      </c>
      <c r="L23" s="756">
        <f>'Emergency Generators - Diesel'!Q11</f>
        <v>0.40833450000000004</v>
      </c>
      <c r="M23" s="503">
        <f>'Emergency Generators - Diesel'!P11</f>
        <v>0.43649550000000004</v>
      </c>
      <c r="N23" s="756">
        <f>'Emergency Generators - Diesel'!U11</f>
        <v>0.43649550000000004</v>
      </c>
      <c r="O23" s="756">
        <f>'Emergency Generators - Diesel'!R11</f>
        <v>6.1954200000000013</v>
      </c>
      <c r="P23" s="756">
        <f>'Emergency Generators - Diesel'!S11</f>
        <v>1.3376475000000001</v>
      </c>
      <c r="Q23" s="756">
        <f>'Emergency Generators - Diesel'!T11</f>
        <v>0.6054615000000001</v>
      </c>
      <c r="R23" s="756">
        <f>'Emergency Generators - Diesel'!U11</f>
        <v>0.43649550000000004</v>
      </c>
      <c r="S23" s="757">
        <f>'Emergency Generators - Diesel'!V11</f>
        <v>2.9569050000000003E-2</v>
      </c>
    </row>
    <row r="24" spans="1:19" ht="24.75" customHeight="1" x14ac:dyDescent="0.25">
      <c r="A24" s="1120"/>
      <c r="B24" s="479">
        <v>8</v>
      </c>
      <c r="C24" s="261" t="s">
        <v>431</v>
      </c>
      <c r="D24" s="511">
        <f>'Emergency Generators - Diesel'!J15</f>
        <v>2.7222299999999999E-4</v>
      </c>
      <c r="E24" s="255">
        <f>'Emergency Generators - Diesel'!I15</f>
        <v>2.9099699999999998E-4</v>
      </c>
      <c r="F24" s="255">
        <f>'Emergency Generators - Diesel'!N15</f>
        <v>2.9099699999999998E-4</v>
      </c>
      <c r="G24" s="255">
        <f>'Emergency Generators - Diesel'!K15</f>
        <v>4.1302800000000001E-3</v>
      </c>
      <c r="H24" s="255">
        <f>'Emergency Generators - Diesel'!L15</f>
        <v>8.9176499999999988E-4</v>
      </c>
      <c r="I24" s="255">
        <f>'Emergency Generators - Diesel'!M15</f>
        <v>4.0364099999999999E-4</v>
      </c>
      <c r="J24" s="255">
        <f>'Emergency Generators - Diesel'!N15</f>
        <v>2.9099699999999998E-4</v>
      </c>
      <c r="K24" s="512">
        <f>'Emergency Generators - Diesel'!O15</f>
        <v>1.9712699999999998E-5</v>
      </c>
      <c r="L24" s="267">
        <f>'Emergency Generators - Diesel'!Q15</f>
        <v>3.2666759999999996E-2</v>
      </c>
      <c r="M24" s="255">
        <f>'Emergency Generators - Diesel'!P15</f>
        <v>3.4919639999999995E-2</v>
      </c>
      <c r="N24" s="267">
        <f>'Emergency Generators - Diesel'!U15</f>
        <v>3.4919639999999995E-2</v>
      </c>
      <c r="O24" s="267">
        <f>'Emergency Generators - Diesel'!R15</f>
        <v>0.49563360000000001</v>
      </c>
      <c r="P24" s="267">
        <f>'Emergency Generators - Diesel'!S15</f>
        <v>0.10701179999999998</v>
      </c>
      <c r="Q24" s="267">
        <f>'Emergency Generators - Diesel'!T15</f>
        <v>4.8436919999999994E-2</v>
      </c>
      <c r="R24" s="267">
        <f>'Emergency Generators - Diesel'!U15</f>
        <v>3.4919639999999995E-2</v>
      </c>
      <c r="S24" s="747">
        <f>'Emergency Generators - Diesel'!V15</f>
        <v>2.3655240000000004E-3</v>
      </c>
    </row>
    <row r="25" spans="1:19" ht="24.75" customHeight="1" x14ac:dyDescent="0.25">
      <c r="A25" s="1120"/>
      <c r="B25" s="479">
        <v>9</v>
      </c>
      <c r="C25" s="261" t="s">
        <v>432</v>
      </c>
      <c r="D25" s="511">
        <f>'Emergency Generators - Diesel'!J29</f>
        <v>2.8150580430000002E-2</v>
      </c>
      <c r="E25" s="255">
        <f>'Emergency Generators - Diesel'!I29</f>
        <v>3.0091999770000002E-2</v>
      </c>
      <c r="F25" s="255">
        <f>'Emergency Generators - Diesel'!N29</f>
        <v>3.0091999770000002E-2</v>
      </c>
      <c r="G25" s="255">
        <f>'Emergency Generators - Diesel'!K29</f>
        <v>0.42711225480000009</v>
      </c>
      <c r="H25" s="255">
        <f>'Emergency Generators - Diesel'!L29</f>
        <v>9.2217418650000008E-2</v>
      </c>
      <c r="I25" s="255">
        <f>'Emergency Generators - Diesel'!M29</f>
        <v>4.1740515810000003E-2</v>
      </c>
      <c r="J25" s="255">
        <f>'Emergency Generators - Diesel'!N29</f>
        <v>3.0091999770000002E-2</v>
      </c>
      <c r="K25" s="512">
        <f>'Emergency Generators - Diesel'!O29</f>
        <v>2.0384903070000005E-3</v>
      </c>
      <c r="L25" s="267">
        <f>'Emergency Generators - Diesel'!Q29</f>
        <v>1.33651965195</v>
      </c>
      <c r="M25" s="255">
        <f>'Emergency Generators - Diesel'!P29</f>
        <v>1.4286934210500002</v>
      </c>
      <c r="N25" s="267">
        <f>'Emergency Generators - Diesel'!U29</f>
        <v>1.4286934210500002</v>
      </c>
      <c r="O25" s="267">
        <f>'Emergency Generators - Diesel'!R29</f>
        <v>20.278229202000006</v>
      </c>
      <c r="P25" s="267">
        <f>'Emergency Generators - Diesel'!S29</f>
        <v>4.3782540322500001</v>
      </c>
      <c r="Q25" s="267">
        <f>'Emergency Generators - Diesel'!T29</f>
        <v>1.98173603565</v>
      </c>
      <c r="R25" s="267">
        <f>'Emergency Generators - Diesel'!U29</f>
        <v>1.4286934210500002</v>
      </c>
      <c r="S25" s="747">
        <f>'Emergency Generators - Diesel'!V29</f>
        <v>9.6782457555000007E-2</v>
      </c>
    </row>
    <row r="26" spans="1:19" ht="24.75" customHeight="1" x14ac:dyDescent="0.25">
      <c r="A26" s="1120"/>
      <c r="B26" s="479">
        <v>10</v>
      </c>
      <c r="C26" s="261" t="s">
        <v>433</v>
      </c>
      <c r="D26" s="511">
        <f>'Emergency Generators - Diesel'!J41</f>
        <v>8.9636228325000004E-3</v>
      </c>
      <c r="E26" s="255">
        <f>'Emergency Generators - Diesel'!I41</f>
        <v>9.5818037175000002E-3</v>
      </c>
      <c r="F26" s="255">
        <f>'Emergency Generators - Diesel'!N41</f>
        <v>9.5818037175000002E-3</v>
      </c>
      <c r="G26" s="255">
        <f>'Emergency Generators - Diesel'!K41</f>
        <v>0.13599979470000004</v>
      </c>
      <c r="H26" s="255">
        <f>'Emergency Generators - Diesel'!L41</f>
        <v>2.9363592037500004E-2</v>
      </c>
      <c r="I26" s="255">
        <f>'Emergency Generators - Diesel'!M41</f>
        <v>1.3290889027500001E-2</v>
      </c>
      <c r="J26" s="255">
        <f>'Emergency Generators - Diesel'!N41</f>
        <v>9.5818037175000002E-3</v>
      </c>
      <c r="K26" s="512">
        <f>'Emergency Generators - Diesel'!O41</f>
        <v>6.4908992925000013E-4</v>
      </c>
      <c r="L26" s="267">
        <f>'Emergency Generators - Diesel'!Q41</f>
        <v>0.62679345750000004</v>
      </c>
      <c r="M26" s="255">
        <f>'Emergency Generators - Diesel'!P41</f>
        <v>0.67002059250000001</v>
      </c>
      <c r="N26" s="267">
        <f>'Emergency Generators - Diesel'!U41</f>
        <v>0.67002059250000001</v>
      </c>
      <c r="O26" s="267">
        <f>'Emergency Generators - Diesel'!R41</f>
        <v>9.5099696999999992</v>
      </c>
      <c r="P26" s="267">
        <f>'Emergency Generators - Diesel'!S41</f>
        <v>2.0532889124999998</v>
      </c>
      <c r="Q26" s="267">
        <f>'Emergency Generators - Diesel'!T41</f>
        <v>0.92938340250000007</v>
      </c>
      <c r="R26" s="267">
        <f>'Emergency Generators - Diesel'!U41</f>
        <v>0.67002059250000001</v>
      </c>
      <c r="S26" s="747">
        <f>'Emergency Generators - Diesel'!V41</f>
        <v>4.538849175000001E-2</v>
      </c>
    </row>
    <row r="27" spans="1:19" ht="24.75" customHeight="1" x14ac:dyDescent="0.25">
      <c r="A27" s="1120"/>
      <c r="B27" s="479">
        <v>16</v>
      </c>
      <c r="C27" s="261" t="s">
        <v>434</v>
      </c>
      <c r="D27" s="511">
        <f>'Emergency Generators - Diesel'!J56</f>
        <v>2.4317716114999992E-2</v>
      </c>
      <c r="E27" s="255">
        <f>'Emergency Generators - Diesel'!I56</f>
        <v>2.5994799984999994E-2</v>
      </c>
      <c r="F27" s="255">
        <f>'Emergency Generators - Diesel'!N56</f>
        <v>2.5994799984999994E-2</v>
      </c>
      <c r="G27" s="255">
        <f>'Emergency Generators - Diesel'!K56</f>
        <v>0.36895845139999994</v>
      </c>
      <c r="H27" s="255">
        <f>'Emergency Generators - Diesel'!L56</f>
        <v>7.966148382499999E-2</v>
      </c>
      <c r="I27" s="255">
        <f>'Emergency Generators - Diesel'!M56</f>
        <v>3.6057303204999988E-2</v>
      </c>
      <c r="J27" s="255">
        <f>'Emergency Generators - Diesel'!N56</f>
        <v>2.5994799984999994E-2</v>
      </c>
      <c r="K27" s="512">
        <f>'Emergency Generators - Diesel'!O56</f>
        <v>1.7609380634999998E-3</v>
      </c>
      <c r="L27" s="267">
        <f>'Emergency Generators - Diesel'!Q56</f>
        <v>1.0470278174999998</v>
      </c>
      <c r="M27" s="255">
        <f>'Emergency Generators - Diesel'!P56</f>
        <v>1.1192366325000001</v>
      </c>
      <c r="N27" s="267">
        <f>'Emergency Generators - Diesel'!U56</f>
        <v>1.1192366325000001</v>
      </c>
      <c r="O27" s="267">
        <f>'Emergency Generators - Diesel'!R56</f>
        <v>15.885939300000002</v>
      </c>
      <c r="P27" s="267">
        <f>'Emergency Generators - Diesel'!S56</f>
        <v>3.4299187124999997</v>
      </c>
      <c r="Q27" s="267">
        <f>'Emergency Generators - Diesel'!T56</f>
        <v>1.5524895224999999</v>
      </c>
      <c r="R27" s="267">
        <f>'Emergency Generators - Diesel'!U56</f>
        <v>1.1192366325000001</v>
      </c>
      <c r="S27" s="747">
        <f>'Emergency Generators - Diesel'!V56</f>
        <v>7.5819255750000022E-2</v>
      </c>
    </row>
    <row r="28" spans="1:19" ht="24.75" customHeight="1" x14ac:dyDescent="0.25">
      <c r="A28" s="1120"/>
      <c r="B28" s="479">
        <v>17</v>
      </c>
      <c r="C28" s="261" t="s">
        <v>435</v>
      </c>
      <c r="D28" s="511">
        <f>'Emergency Generators - Diesel'!J77</f>
        <v>1.1739616874999994E-2</v>
      </c>
      <c r="E28" s="255">
        <f>'Emergency Generators - Diesel'!I77</f>
        <v>1.2549245624999997E-2</v>
      </c>
      <c r="F28" s="255">
        <f>'Emergency Generators - Diesel'!N77</f>
        <v>1.2549245624999997E-2</v>
      </c>
      <c r="G28" s="255">
        <f>'Emergency Generators - Diesel'!K77</f>
        <v>0.17811832499999997</v>
      </c>
      <c r="H28" s="255">
        <f>'Emergency Generators - Diesel'!L77</f>
        <v>3.8457365624999983E-2</v>
      </c>
      <c r="I28" s="255">
        <f>'Emergency Generators - Diesel'!M77</f>
        <v>1.7407018124999996E-2</v>
      </c>
      <c r="J28" s="255">
        <f>'Emergency Generators - Diesel'!N77</f>
        <v>1.2549245624999997E-2</v>
      </c>
      <c r="K28" s="512">
        <f>'Emergency Generators - Diesel'!O77</f>
        <v>8.5011018749999963E-4</v>
      </c>
      <c r="L28" s="267">
        <f>'Emergency Generators - Diesel'!Q77</f>
        <v>0.81503566199999999</v>
      </c>
      <c r="M28" s="255">
        <f>'Emergency Generators - Diesel'!P77</f>
        <v>0.8712450180000002</v>
      </c>
      <c r="N28" s="267">
        <f>'Emergency Generators - Diesel'!U77</f>
        <v>0.8712450180000002</v>
      </c>
      <c r="O28" s="267">
        <f>'Emergency Generators - Diesel'!R77</f>
        <v>12.366058320000004</v>
      </c>
      <c r="P28" s="267">
        <f>'Emergency Generators - Diesel'!S77</f>
        <v>2.6699444099999994</v>
      </c>
      <c r="Q28" s="267">
        <f>'Emergency Generators - Diesel'!T77</f>
        <v>1.2085011539999999</v>
      </c>
      <c r="R28" s="267">
        <f>'Emergency Generators - Diesel'!U77</f>
        <v>0.8712450180000002</v>
      </c>
      <c r="S28" s="747">
        <f>'Emergency Generators - Diesel'!V77</f>
        <v>5.901982380000001E-2</v>
      </c>
    </row>
    <row r="29" spans="1:19" ht="24.75" customHeight="1" x14ac:dyDescent="0.25">
      <c r="A29" s="1120"/>
      <c r="B29" s="479">
        <v>19</v>
      </c>
      <c r="C29" s="254" t="s">
        <v>927</v>
      </c>
      <c r="D29" s="511">
        <f>'Emergency Generators - Diesel'!J81</f>
        <v>5.7677248124999988E-3</v>
      </c>
      <c r="E29" s="255">
        <f>'Emergency Generators - Diesel'!I81</f>
        <v>6.1654989374999997E-3</v>
      </c>
      <c r="F29" s="255">
        <f>'Emergency Generators - Diesel'!I81</f>
        <v>6.1654989374999997E-3</v>
      </c>
      <c r="G29" s="255">
        <f>'Emergency Generators - Diesel'!K81</f>
        <v>8.7510307499999995E-2</v>
      </c>
      <c r="H29" s="255">
        <f>'Emergency Generators - Diesel'!L81</f>
        <v>1.8894270937499996E-2</v>
      </c>
      <c r="I29" s="255">
        <f>'Emergency Generators - Diesel'!M81</f>
        <v>8.5521436874999995E-3</v>
      </c>
      <c r="J29" s="255">
        <f>'Emergency Generators - Diesel'!N81</f>
        <v>6.1654989374999997E-3</v>
      </c>
      <c r="K29" s="512">
        <f>'Emergency Generators - Diesel'!O81</f>
        <v>4.1766283125E-4</v>
      </c>
      <c r="L29" s="267">
        <f>'Emergency Generators - Diesel'!Q81</f>
        <v>0.23070899249999999</v>
      </c>
      <c r="M29" s="814">
        <f>'Emergency Generators - Diesel'!P81</f>
        <v>0.24661995750000001</v>
      </c>
      <c r="N29" s="816">
        <f>'Emergency Generators - Diesel'!P81</f>
        <v>0.24661995750000001</v>
      </c>
      <c r="O29" s="267">
        <f>'Emergency Generators - Diesel'!R81</f>
        <v>3.5004123000000003</v>
      </c>
      <c r="P29" s="267">
        <f>'Emergency Generators - Diesel'!S81</f>
        <v>0.75577083749999996</v>
      </c>
      <c r="Q29" s="267">
        <f>'Emergency Generators - Diesel'!T81</f>
        <v>0.34208574750000004</v>
      </c>
      <c r="R29" s="267">
        <f>'Emergency Generators - Diesel'!U81</f>
        <v>0.24661995750000001</v>
      </c>
      <c r="S29" s="747">
        <f>'Emergency Generators - Diesel'!V81</f>
        <v>1.6706513249999999E-2</v>
      </c>
    </row>
    <row r="30" spans="1:19" ht="24.75" customHeight="1" x14ac:dyDescent="0.25">
      <c r="A30" s="1120"/>
      <c r="B30" s="479">
        <v>43</v>
      </c>
      <c r="C30" s="254" t="s">
        <v>616</v>
      </c>
      <c r="D30" s="511">
        <f>'Emergency Generators - Diesel'!J86</f>
        <v>2.0702559150000015E-2</v>
      </c>
      <c r="E30" s="255">
        <f>'Emergency Generators - Diesel'!I86</f>
        <v>2.2130321850000016E-2</v>
      </c>
      <c r="F30" s="255">
        <f>'Emergency Generators - Diesel'!I86</f>
        <v>2.2130321850000016E-2</v>
      </c>
      <c r="G30" s="255">
        <f>'Emergency Generators - Diesel'!K86</f>
        <v>0.31410779400000027</v>
      </c>
      <c r="H30" s="255">
        <f>'Emergency Generators - Diesel'!L86</f>
        <v>6.7818728250000043E-2</v>
      </c>
      <c r="I30" s="255">
        <f>'Emergency Generators - Diesel'!M86</f>
        <v>3.0696898050000025E-2</v>
      </c>
      <c r="J30" s="255">
        <f>'Emergency Generators - Diesel'!N86</f>
        <v>2.2130321850000016E-2</v>
      </c>
      <c r="K30" s="512">
        <f>'Emergency Generators - Diesel'!O86</f>
        <v>1.4991508350000013E-3</v>
      </c>
      <c r="L30" s="267">
        <f>'Emergency Generators - Diesel'!Q86</f>
        <v>1.0616696999999999</v>
      </c>
      <c r="M30" s="255">
        <f>'Emergency Generators - Diesel'!P86</f>
        <v>1.1348882999999998</v>
      </c>
      <c r="N30" s="267">
        <f>'Emergency Generators - Diesel'!P86</f>
        <v>1.1348882999999998</v>
      </c>
      <c r="O30" s="267">
        <f>'Emergency Generators - Diesel'!R86</f>
        <v>16.108091999999999</v>
      </c>
      <c r="P30" s="267">
        <f>'Emergency Generators - Diesel'!S86</f>
        <v>3.4778834999999995</v>
      </c>
      <c r="Q30" s="267">
        <f>'Emergency Generators - Diesel'!T86</f>
        <v>1.5741998999999998</v>
      </c>
      <c r="R30" s="267">
        <f>'Emergency Generators - Diesel'!U86</f>
        <v>1.1348882999999998</v>
      </c>
      <c r="S30" s="747">
        <f>'Emergency Generators - Diesel'!V86</f>
        <v>7.6879530000000001E-2</v>
      </c>
    </row>
    <row r="31" spans="1:19" ht="24.75" customHeight="1" thickBot="1" x14ac:dyDescent="0.3">
      <c r="A31" s="1121"/>
      <c r="B31" s="480">
        <v>18</v>
      </c>
      <c r="C31" s="256" t="s">
        <v>436</v>
      </c>
      <c r="D31" s="753">
        <f>'Emergency Generators-NG'!I24</f>
        <v>3.8972852729999993E-5</v>
      </c>
      <c r="E31" s="505">
        <f>'Emergency Generators-NG'!H24</f>
        <v>3.117828218399999E-3</v>
      </c>
      <c r="F31" s="505">
        <f>'Emergency Generators-NG'!M24</f>
        <v>6.1707016822499996E-4</v>
      </c>
      <c r="G31" s="505">
        <f>'Emergency Generators-NG'!J24</f>
        <v>0.12225858961640207</v>
      </c>
      <c r="H31" s="505">
        <f>'Emergency Generators-NG'!K24</f>
        <v>0.4888392328555678</v>
      </c>
      <c r="I31" s="505">
        <f>'Emergency Generators-NG'!L24</f>
        <v>1.1521089947089945E-2</v>
      </c>
      <c r="J31" s="505">
        <f>'Emergency Generators-NG'!M24</f>
        <v>6.1707016822499996E-4</v>
      </c>
      <c r="K31" s="754">
        <f>'Emergency Generators-NG'!N24</f>
        <v>1.1691855818999996E-3</v>
      </c>
      <c r="L31" s="268">
        <f>'Emergency Generators-NG'!R24</f>
        <v>7.5274352999999989E-4</v>
      </c>
      <c r="M31" s="505">
        <f>'Emergency Generators-NG'!Q24</f>
        <v>6.0219482400000017E-2</v>
      </c>
      <c r="N31" s="268">
        <f>'Emergency Generators-NG'!V24</f>
        <v>1.1918439224999997E-2</v>
      </c>
      <c r="O31" s="268">
        <f>'Emergency Generators-NG'!S24</f>
        <v>3.6794229497354496</v>
      </c>
      <c r="P31" s="268">
        <f>'Emergency Generators-NG'!T24</f>
        <v>8.222730099228226</v>
      </c>
      <c r="Q31" s="268">
        <f>'Emergency Generators-NG'!U24</f>
        <v>0.59442328042328052</v>
      </c>
      <c r="R31" s="268">
        <f>'Emergency Generators-NG'!V24</f>
        <v>1.1918439224999997E-2</v>
      </c>
      <c r="S31" s="755">
        <f>'Emergency Generators-NG'!W24</f>
        <v>0.9</v>
      </c>
    </row>
    <row r="32" spans="1:19" ht="24.75" customHeight="1" thickBot="1" x14ac:dyDescent="0.3">
      <c r="D32" s="255"/>
      <c r="E32" s="255"/>
      <c r="F32" s="255"/>
      <c r="G32" s="255"/>
      <c r="H32" s="255"/>
      <c r="I32" s="255"/>
      <c r="J32" s="255"/>
      <c r="K32" s="255"/>
      <c r="L32" s="267"/>
      <c r="M32" s="255"/>
      <c r="N32" s="267"/>
      <c r="O32" s="267"/>
      <c r="P32" s="267"/>
      <c r="Q32" s="267"/>
      <c r="R32" s="267"/>
      <c r="S32" s="267"/>
    </row>
    <row r="33" spans="1:19" ht="24.75" customHeight="1" x14ac:dyDescent="0.25">
      <c r="A33" s="1130" t="s">
        <v>437</v>
      </c>
      <c r="B33" s="478">
        <v>11</v>
      </c>
      <c r="C33" s="265" t="s">
        <v>421</v>
      </c>
      <c r="D33" s="758"/>
      <c r="E33" s="759"/>
      <c r="F33" s="759"/>
      <c r="G33" s="759"/>
      <c r="H33" s="759"/>
      <c r="I33" s="503">
        <f>'Storage Tanks'!K22</f>
        <v>0.37326373600000001</v>
      </c>
      <c r="J33" s="759"/>
      <c r="K33" s="760"/>
      <c r="L33" s="375"/>
      <c r="M33" s="759"/>
      <c r="N33" s="375"/>
      <c r="O33" s="375"/>
      <c r="P33" s="375"/>
      <c r="Q33" s="756">
        <v>0.45600000000000002</v>
      </c>
      <c r="R33" s="375"/>
      <c r="S33" s="761"/>
    </row>
    <row r="34" spans="1:19" ht="24.75" customHeight="1" x14ac:dyDescent="0.25">
      <c r="A34" s="1131"/>
      <c r="B34" s="479" t="s">
        <v>598</v>
      </c>
      <c r="C34" s="996" t="s">
        <v>597</v>
      </c>
      <c r="D34" s="762"/>
      <c r="E34" s="999"/>
      <c r="F34" s="999"/>
      <c r="G34" s="999"/>
      <c r="H34" s="999"/>
      <c r="I34" s="1000">
        <f>'Storage Tanks'!K5+'Storage Tanks'!K6</f>
        <v>5.0065725999999998E-2</v>
      </c>
      <c r="J34" s="999"/>
      <c r="K34" s="764"/>
      <c r="L34" s="997"/>
      <c r="M34" s="999"/>
      <c r="N34" s="997"/>
      <c r="O34" s="997"/>
      <c r="P34" s="997"/>
      <c r="Q34" s="998">
        <f>'Storage Tanks'!K30+'Storage Tanks'!K31</f>
        <v>0.25125339050000001</v>
      </c>
      <c r="R34" s="997"/>
      <c r="S34" s="365"/>
    </row>
    <row r="35" spans="1:19" ht="24.75" customHeight="1" x14ac:dyDescent="0.25">
      <c r="A35" s="1131"/>
      <c r="B35" s="479">
        <v>12</v>
      </c>
      <c r="C35" s="996" t="s">
        <v>422</v>
      </c>
      <c r="D35" s="362"/>
      <c r="E35" s="997"/>
      <c r="F35" s="997"/>
      <c r="G35" s="997"/>
      <c r="H35" s="997"/>
      <c r="I35" s="998">
        <f>'Storage Tanks'!K20+'Storage Tanks'!K19</f>
        <v>3.2128199999999994E-4</v>
      </c>
      <c r="J35" s="997"/>
      <c r="K35" s="365"/>
      <c r="L35" s="997"/>
      <c r="M35" s="999"/>
      <c r="N35" s="997"/>
      <c r="O35" s="997"/>
      <c r="P35" s="997"/>
      <c r="Q35" s="998">
        <v>2E-3</v>
      </c>
      <c r="R35" s="997"/>
      <c r="S35" s="365"/>
    </row>
    <row r="36" spans="1:19" ht="24.75" customHeight="1" x14ac:dyDescent="0.25">
      <c r="A36" s="1131"/>
      <c r="B36" s="479">
        <v>14</v>
      </c>
      <c r="C36" s="996" t="s">
        <v>423</v>
      </c>
      <c r="D36" s="362"/>
      <c r="E36" s="1001"/>
      <c r="F36" s="999"/>
      <c r="G36" s="999"/>
      <c r="H36" s="999"/>
      <c r="I36" s="1002">
        <f>'Storage Tanks'!K18</f>
        <v>1.219971119133574E-6</v>
      </c>
      <c r="J36" s="999"/>
      <c r="K36" s="764"/>
      <c r="L36" s="997"/>
      <c r="M36" s="999"/>
      <c r="N36" s="997"/>
      <c r="O36" s="997"/>
      <c r="P36" s="997"/>
      <c r="Q36" s="998">
        <v>0</v>
      </c>
      <c r="R36" s="997"/>
      <c r="S36" s="365"/>
    </row>
    <row r="37" spans="1:19" ht="24.75" customHeight="1" x14ac:dyDescent="0.25">
      <c r="A37" s="1131"/>
      <c r="B37" s="479">
        <v>23</v>
      </c>
      <c r="C37" s="996" t="s">
        <v>831</v>
      </c>
      <c r="D37" s="362"/>
      <c r="E37" s="997"/>
      <c r="F37" s="997"/>
      <c r="G37" s="997"/>
      <c r="H37" s="997"/>
      <c r="I37" s="998">
        <f>'Storage Tanks'!K8+'Storage Tanks'!K9</f>
        <v>2.0238290000000001E-4</v>
      </c>
      <c r="J37" s="997"/>
      <c r="K37" s="365"/>
      <c r="L37" s="997"/>
      <c r="M37" s="999"/>
      <c r="N37" s="997"/>
      <c r="O37" s="997"/>
      <c r="P37" s="997"/>
      <c r="Q37" s="998">
        <v>1E-3</v>
      </c>
      <c r="R37" s="997"/>
      <c r="S37" s="365"/>
    </row>
    <row r="38" spans="1:19" ht="24.75" customHeight="1" x14ac:dyDescent="0.25">
      <c r="A38" s="1131"/>
      <c r="B38" s="479">
        <v>22</v>
      </c>
      <c r="C38" s="996" t="s">
        <v>424</v>
      </c>
      <c r="D38" s="362"/>
      <c r="E38" s="997"/>
      <c r="F38" s="997"/>
      <c r="G38" s="997"/>
      <c r="H38" s="997"/>
      <c r="I38" s="998">
        <f>'Storage Tanks'!K10+'Storage Tanks'!K11</f>
        <v>2.0277750000000001E-5</v>
      </c>
      <c r="J38" s="997"/>
      <c r="K38" s="365"/>
      <c r="L38" s="997"/>
      <c r="M38" s="999"/>
      <c r="N38" s="997"/>
      <c r="O38" s="997"/>
      <c r="P38" s="997"/>
      <c r="Q38" s="998">
        <v>0</v>
      </c>
      <c r="R38" s="997"/>
      <c r="S38" s="365"/>
    </row>
    <row r="39" spans="1:19" ht="24.75" customHeight="1" x14ac:dyDescent="0.25">
      <c r="A39" s="1131"/>
      <c r="B39" s="479">
        <v>24</v>
      </c>
      <c r="C39" s="996" t="s">
        <v>425</v>
      </c>
      <c r="D39" s="362"/>
      <c r="E39" s="997"/>
      <c r="F39" s="997"/>
      <c r="G39" s="997"/>
      <c r="H39" s="997"/>
      <c r="I39" s="998">
        <f>'Storage Tanks'!K12</f>
        <v>1.002575E-5</v>
      </c>
      <c r="J39" s="997"/>
      <c r="K39" s="365"/>
      <c r="L39" s="997"/>
      <c r="M39" s="999"/>
      <c r="N39" s="997"/>
      <c r="O39" s="997"/>
      <c r="P39" s="997"/>
      <c r="Q39" s="998">
        <v>0</v>
      </c>
      <c r="R39" s="997"/>
      <c r="S39" s="365"/>
    </row>
    <row r="40" spans="1:19" ht="24.75" customHeight="1" x14ac:dyDescent="0.25">
      <c r="A40" s="1131"/>
      <c r="B40" s="479">
        <v>42</v>
      </c>
      <c r="C40" s="996" t="s">
        <v>835</v>
      </c>
      <c r="D40" s="362"/>
      <c r="E40" s="997"/>
      <c r="F40" s="997"/>
      <c r="G40" s="997"/>
      <c r="H40" s="997"/>
      <c r="I40" s="998">
        <f>'Storage Tanks'!K23</f>
        <v>7.4418238267148023E-7</v>
      </c>
      <c r="J40" s="997"/>
      <c r="K40" s="365"/>
      <c r="L40" s="997"/>
      <c r="M40" s="999"/>
      <c r="N40" s="997"/>
      <c r="O40" s="997"/>
      <c r="P40" s="997"/>
      <c r="Q40" s="998">
        <v>0</v>
      </c>
      <c r="R40" s="997"/>
      <c r="S40" s="365"/>
    </row>
    <row r="41" spans="1:19" s="996" customFormat="1" ht="24.75" customHeight="1" x14ac:dyDescent="0.25">
      <c r="A41" s="1131"/>
      <c r="B41" s="479">
        <v>25</v>
      </c>
      <c r="C41" s="996" t="s">
        <v>836</v>
      </c>
      <c r="D41" s="362"/>
      <c r="E41" s="997"/>
      <c r="F41" s="997"/>
      <c r="G41" s="997"/>
      <c r="H41" s="997"/>
      <c r="I41" s="998">
        <f>'Storage Tanks'!K23</f>
        <v>7.4418238267148023E-7</v>
      </c>
      <c r="J41" s="997"/>
      <c r="K41" s="365"/>
      <c r="L41" s="997"/>
      <c r="M41" s="999"/>
      <c r="N41" s="997"/>
      <c r="O41" s="997"/>
      <c r="P41" s="997"/>
      <c r="Q41" s="998">
        <v>0</v>
      </c>
      <c r="R41" s="997"/>
      <c r="S41" s="365"/>
    </row>
    <row r="42" spans="1:19" ht="24.75" customHeight="1" x14ac:dyDescent="0.25">
      <c r="A42" s="1131"/>
      <c r="B42" s="1003">
        <v>46</v>
      </c>
      <c r="C42" s="1005" t="s">
        <v>914</v>
      </c>
      <c r="D42" s="997"/>
      <c r="E42" s="997"/>
      <c r="F42" s="997"/>
      <c r="G42" s="997"/>
      <c r="H42" s="997"/>
      <c r="I42" s="998">
        <v>0</v>
      </c>
      <c r="J42" s="997"/>
      <c r="K42" s="365"/>
      <c r="L42" s="997"/>
      <c r="M42" s="999"/>
      <c r="N42" s="997"/>
      <c r="O42" s="997"/>
      <c r="P42" s="997"/>
      <c r="Q42" s="998"/>
      <c r="R42" s="997"/>
      <c r="S42" s="997"/>
    </row>
    <row r="43" spans="1:19" ht="24.75" customHeight="1" x14ac:dyDescent="0.25">
      <c r="A43" s="1131"/>
      <c r="B43" s="1003">
        <v>47</v>
      </c>
      <c r="C43" s="1005" t="s">
        <v>915</v>
      </c>
      <c r="D43" s="997"/>
      <c r="E43" s="997"/>
      <c r="F43" s="997"/>
      <c r="G43" s="997"/>
      <c r="H43" s="997"/>
      <c r="I43" s="998">
        <v>0</v>
      </c>
      <c r="J43" s="997"/>
      <c r="K43" s="365"/>
      <c r="L43" s="997"/>
      <c r="M43" s="999"/>
      <c r="N43" s="997"/>
      <c r="O43" s="997"/>
      <c r="P43" s="997"/>
      <c r="Q43" s="998"/>
      <c r="R43" s="997"/>
      <c r="S43" s="997"/>
    </row>
    <row r="44" spans="1:19" ht="24.75" customHeight="1" thickBot="1" x14ac:dyDescent="0.3">
      <c r="A44" s="1132"/>
      <c r="B44" s="1004">
        <v>48</v>
      </c>
      <c r="C44" s="1006" t="s">
        <v>916</v>
      </c>
      <c r="D44" s="364"/>
      <c r="E44" s="364"/>
      <c r="F44" s="364"/>
      <c r="G44" s="364"/>
      <c r="H44" s="364"/>
      <c r="I44" s="268">
        <v>0</v>
      </c>
      <c r="J44" s="364"/>
      <c r="K44" s="366"/>
      <c r="L44" s="364"/>
      <c r="M44" s="765"/>
      <c r="N44" s="364"/>
      <c r="O44" s="364"/>
      <c r="P44" s="364"/>
      <c r="Q44" s="268"/>
      <c r="R44" s="364"/>
      <c r="S44" s="364"/>
    </row>
    <row r="45" spans="1:19" ht="24.75" customHeight="1" thickBot="1" x14ac:dyDescent="0.3">
      <c r="D45" s="255"/>
      <c r="E45" s="255"/>
      <c r="F45" s="255"/>
      <c r="G45" s="255"/>
      <c r="H45" s="255"/>
      <c r="I45" s="267"/>
      <c r="J45" s="255"/>
      <c r="K45" s="255"/>
      <c r="L45" s="267"/>
      <c r="M45" s="255"/>
      <c r="N45" s="267"/>
      <c r="O45" s="267"/>
      <c r="P45" s="267"/>
      <c r="Q45" s="267"/>
      <c r="R45" s="267"/>
      <c r="S45" s="267"/>
    </row>
    <row r="46" spans="1:19" ht="24.75" customHeight="1" x14ac:dyDescent="0.25">
      <c r="A46" s="1122" t="s">
        <v>442</v>
      </c>
      <c r="B46" s="475">
        <v>41</v>
      </c>
      <c r="C46" s="265" t="s">
        <v>75</v>
      </c>
      <c r="D46" s="758"/>
      <c r="E46" s="759"/>
      <c r="F46" s="759"/>
      <c r="G46" s="759"/>
      <c r="H46" s="759"/>
      <c r="I46" s="375"/>
      <c r="J46" s="759"/>
      <c r="K46" s="504">
        <f>'Storage Tanks'!B49</f>
        <v>8.4360800000000014E-2</v>
      </c>
      <c r="L46" s="375"/>
      <c r="M46" s="375"/>
      <c r="N46" s="375"/>
      <c r="O46" s="375"/>
      <c r="P46" s="375"/>
      <c r="Q46" s="375"/>
      <c r="R46" s="375"/>
      <c r="S46" s="757">
        <f>'Storage Tanks'!B51</f>
        <v>0.41</v>
      </c>
    </row>
    <row r="47" spans="1:19" ht="24.75" customHeight="1" x14ac:dyDescent="0.25">
      <c r="A47" s="1123"/>
      <c r="B47" s="476">
        <v>44</v>
      </c>
      <c r="C47" s="261" t="s">
        <v>615</v>
      </c>
      <c r="D47" s="511">
        <f>'Space Heaters'!E17</f>
        <v>3.6656673786407763E-3</v>
      </c>
      <c r="E47" s="255">
        <f>'Space Heaters'!E19</f>
        <v>1.1607946699029125E-2</v>
      </c>
      <c r="F47" s="255">
        <f>'Space Heaters'!E20</f>
        <v>1.1607946699029125E-2</v>
      </c>
      <c r="G47" s="255">
        <f>'Space Heaters'!E16</f>
        <v>0.61094456310679623</v>
      </c>
      <c r="H47" s="255">
        <f>'Space Heaters'!E18</f>
        <v>0.51319343300970877</v>
      </c>
      <c r="I47" s="267">
        <f>'Space Heaters'!E22</f>
        <v>3.360195097087379E-2</v>
      </c>
      <c r="J47" s="255">
        <f>'Space Heaters'!E21</f>
        <v>1.1607946699029125E-2</v>
      </c>
      <c r="K47" s="512">
        <f>'Space Heaters'!E23</f>
        <v>2.9936283592233012E-3</v>
      </c>
      <c r="L47" s="267">
        <f>'Space Heaters'!G17</f>
        <v>6.1234951456310679E-2</v>
      </c>
      <c r="M47" s="267">
        <f>'Space Heaters'!G19</f>
        <v>0.19391067961165048</v>
      </c>
      <c r="N47" s="267">
        <f>'Space Heaters'!G20</f>
        <v>0.19391067961165048</v>
      </c>
      <c r="O47" s="267">
        <f>'Space Heaters'!G16</f>
        <v>10.205825242718447</v>
      </c>
      <c r="P47" s="267">
        <f>'Space Heaters'!G18</f>
        <v>8.5728932038834955</v>
      </c>
      <c r="Q47" s="267">
        <f>'Space Heaters'!G22</f>
        <v>0.56132038834951459</v>
      </c>
      <c r="R47" s="267">
        <f>'Space Heaters'!G21</f>
        <v>0.19391067961165048</v>
      </c>
      <c r="S47" s="747">
        <f>'Space Heaters'!G23</f>
        <v>5.0008543689320388E-2</v>
      </c>
    </row>
    <row r="48" spans="1:19" ht="24.75" customHeight="1" x14ac:dyDescent="0.25">
      <c r="A48" s="1123"/>
      <c r="B48" s="476">
        <v>44</v>
      </c>
      <c r="C48" s="261" t="s">
        <v>898</v>
      </c>
      <c r="D48" s="511">
        <f>'Space Heaters'!M17</f>
        <v>2.3016629999999998E-5</v>
      </c>
      <c r="E48" s="255">
        <f>'Space Heaters'!M19</f>
        <v>1.7705099999999999E-3</v>
      </c>
      <c r="F48" s="255">
        <f>'Space Heaters'!M20</f>
        <v>1.7705099999999999E-3</v>
      </c>
      <c r="G48" s="255">
        <f>'Space Heaters'!M16</f>
        <v>0.11508315</v>
      </c>
      <c r="H48" s="255">
        <f>'Space Heaters'!M18</f>
        <v>6.6394124999999984E-2</v>
      </c>
      <c r="I48" s="267">
        <f>'Space Heaters'!M22</f>
        <v>8.852549999999999E-3</v>
      </c>
      <c r="J48" s="255">
        <f>'Space Heaters'!M21</f>
        <v>1.7705099999999999E-3</v>
      </c>
      <c r="K48" s="779" t="str">
        <f>'Space Heaters'!M23</f>
        <v>--</v>
      </c>
      <c r="L48" s="267">
        <f>'Space Heaters'!O17</f>
        <v>2.8678856892587323E-3</v>
      </c>
      <c r="M48" s="267">
        <f>'Space Heaters'!O19</f>
        <v>0.22060659148144096</v>
      </c>
      <c r="N48" s="267">
        <f>'Space Heaters'!O20</f>
        <v>0.22060659148144096</v>
      </c>
      <c r="O48" s="267">
        <f>'Space Heaters'!O16</f>
        <v>14.339428446293663</v>
      </c>
      <c r="P48" s="267">
        <f>'Space Heaters'!O18</f>
        <v>8.2727471805540347</v>
      </c>
      <c r="Q48" s="267">
        <f>'Space Heaters'!O22</f>
        <v>1.1030329574072049</v>
      </c>
      <c r="R48" s="267">
        <f>'Space Heaters'!O21</f>
        <v>0.22060659148144096</v>
      </c>
      <c r="S48" s="780" t="str">
        <f>'Space Heaters'!O23</f>
        <v>--</v>
      </c>
    </row>
    <row r="49" spans="1:19" ht="24.75" customHeight="1" x14ac:dyDescent="0.25">
      <c r="A49" s="1123"/>
      <c r="B49" s="476">
        <v>26</v>
      </c>
      <c r="C49" s="513" t="s">
        <v>417</v>
      </c>
      <c r="D49" s="762"/>
      <c r="E49" s="763"/>
      <c r="F49" s="763"/>
      <c r="G49" s="763"/>
      <c r="H49" s="763"/>
      <c r="I49" s="267">
        <f>'Paint booth &amp; degreaser'!K10</f>
        <v>6.9292105263157891E-2</v>
      </c>
      <c r="J49" s="763"/>
      <c r="K49" s="764"/>
      <c r="L49" s="363"/>
      <c r="M49" s="763"/>
      <c r="N49" s="363"/>
      <c r="O49" s="363"/>
      <c r="P49" s="363"/>
      <c r="Q49" s="267">
        <f>'Paint booth &amp; degreaser'!J21</f>
        <v>0.14591318319838056</v>
      </c>
      <c r="R49" s="363"/>
      <c r="S49" s="365"/>
    </row>
    <row r="50" spans="1:19" ht="24.75" customHeight="1" x14ac:dyDescent="0.25">
      <c r="A50" s="1123"/>
      <c r="B50" s="476">
        <v>25</v>
      </c>
      <c r="C50" s="996" t="s">
        <v>366</v>
      </c>
      <c r="D50" s="762"/>
      <c r="E50" s="1002">
        <f>'Paint booth &amp; degreaser'!D30</f>
        <v>4.497919418758256E-4</v>
      </c>
      <c r="F50" s="1002">
        <f>E50</f>
        <v>4.497919418758256E-4</v>
      </c>
      <c r="G50" s="999"/>
      <c r="H50" s="999"/>
      <c r="I50" s="998">
        <f>'Paint booth &amp; degreaser'!D16</f>
        <v>1.8197466960352422E-2</v>
      </c>
      <c r="J50" s="1002">
        <f>E50</f>
        <v>4.497919418758256E-4</v>
      </c>
      <c r="K50" s="764"/>
      <c r="L50" s="997"/>
      <c r="M50" s="1002">
        <f>'Paint booth &amp; degreaser'!D38</f>
        <v>1.0824663216572066E-2</v>
      </c>
      <c r="N50" s="998">
        <f>M50</f>
        <v>1.0824663216572066E-2</v>
      </c>
      <c r="O50" s="997"/>
      <c r="P50" s="997"/>
      <c r="Q50" s="998">
        <f>'Paint booth &amp; degreaser'!D37</f>
        <v>0.43793904003485495</v>
      </c>
      <c r="R50" s="998">
        <f>M50</f>
        <v>1.0824663216572066E-2</v>
      </c>
      <c r="S50" s="365"/>
    </row>
    <row r="51" spans="1:19" ht="24.75" customHeight="1" thickBot="1" x14ac:dyDescent="0.3">
      <c r="A51" s="1124"/>
      <c r="B51" s="477">
        <v>45</v>
      </c>
      <c r="C51" s="266" t="s">
        <v>911</v>
      </c>
      <c r="D51" s="766">
        <f>'LNG Facility'!E24</f>
        <v>9.7657563555755104E-3</v>
      </c>
      <c r="E51" s="767">
        <f>'LNG Facility'!E26</f>
        <v>3.0924895125989112E-2</v>
      </c>
      <c r="F51" s="767">
        <f>'LNG Facility'!E27</f>
        <v>3.0924895125989112E-2</v>
      </c>
      <c r="G51" s="767">
        <f>'LNG Facility'!E23</f>
        <v>1.6276260592625849</v>
      </c>
      <c r="H51" s="767">
        <f>'LNG Facility'!E25</f>
        <v>1.3672058897805714</v>
      </c>
      <c r="I51" s="768">
        <f>'LNG Facility'!E29</f>
        <v>8.9519433259442172E-2</v>
      </c>
      <c r="J51" s="767">
        <f>'LNG Facility'!E28</f>
        <v>3.0924895125989112E-2</v>
      </c>
      <c r="K51" s="769">
        <f>'LNG Facility'!E30</f>
        <v>7.9753676903866668E-3</v>
      </c>
      <c r="L51" s="768">
        <f>'LNG Facility'!G24</f>
        <v>1.9135922330097088E-2</v>
      </c>
      <c r="M51" s="767">
        <f>'LNG Facility'!G26</f>
        <v>6.0597087378640779E-2</v>
      </c>
      <c r="N51" s="768">
        <f>'LNG Facility'!G27</f>
        <v>6.0597087378640779E-2</v>
      </c>
      <c r="O51" s="768">
        <f>'LNG Facility'!G23</f>
        <v>3.1893203883495147</v>
      </c>
      <c r="P51" s="768">
        <f>'LNG Facility'!G25</f>
        <v>2.6790291262135923</v>
      </c>
      <c r="Q51" s="768">
        <f>'LNG Facility'!G29</f>
        <v>0.17541262135922328</v>
      </c>
      <c r="R51" s="768">
        <f>'LNG Facility'!G28</f>
        <v>6.0597087378640779E-2</v>
      </c>
      <c r="S51" s="770">
        <f>'LNG Facility'!G30</f>
        <v>1.5627669902912623E-2</v>
      </c>
    </row>
    <row r="52" spans="1:19" ht="16.5" thickBot="1" x14ac:dyDescent="0.3">
      <c r="D52" s="254"/>
      <c r="E52" s="254"/>
      <c r="F52" s="254"/>
      <c r="G52" s="254"/>
      <c r="H52" s="254"/>
      <c r="I52" s="269"/>
      <c r="J52" s="254"/>
      <c r="K52" s="254"/>
      <c r="M52" s="254"/>
    </row>
    <row r="53" spans="1:19" s="274" customFormat="1" ht="24.75" customHeight="1" thickBot="1" x14ac:dyDescent="0.3">
      <c r="A53" s="270"/>
      <c r="B53" s="472"/>
      <c r="C53" s="271" t="s">
        <v>438</v>
      </c>
      <c r="D53" s="495">
        <f t="shared" ref="D53:S53" si="5">SUM(D16:D51)</f>
        <v>1.7929107483742051</v>
      </c>
      <c r="E53" s="496">
        <f t="shared" si="5"/>
        <v>27.123491760147523</v>
      </c>
      <c r="F53" s="496">
        <f t="shared" si="5"/>
        <v>27.116944014097349</v>
      </c>
      <c r="G53" s="496">
        <f>SUM(G16:G51)</f>
        <v>12.049961114079064</v>
      </c>
      <c r="H53" s="496">
        <f t="shared" si="5"/>
        <v>5.245506318432386</v>
      </c>
      <c r="I53" s="497">
        <f t="shared" si="5"/>
        <v>1.7398256950928579</v>
      </c>
      <c r="J53" s="496">
        <f t="shared" si="5"/>
        <v>27.11584428909735</v>
      </c>
      <c r="K53" s="496">
        <f t="shared" si="5"/>
        <v>0.6212872281437245</v>
      </c>
      <c r="L53" s="272">
        <f t="shared" si="5"/>
        <v>12.620439774008634</v>
      </c>
      <c r="M53" s="258">
        <f t="shared" si="5"/>
        <v>102.39546987621188</v>
      </c>
      <c r="N53" s="272">
        <f t="shared" si="5"/>
        <v>102.27647529932258</v>
      </c>
      <c r="O53" s="272">
        <f t="shared" si="5"/>
        <v>172.80562069395307</v>
      </c>
      <c r="P53" s="272">
        <f t="shared" si="5"/>
        <v>116.64252109130207</v>
      </c>
      <c r="Q53" s="272">
        <f t="shared" si="5"/>
        <v>22.711486261674516</v>
      </c>
      <c r="R53" s="272">
        <f t="shared" si="5"/>
        <v>102.25726509994371</v>
      </c>
      <c r="S53" s="273">
        <f t="shared" si="5"/>
        <v>8.0821811102023258</v>
      </c>
    </row>
    <row r="54" spans="1:19" x14ac:dyDescent="0.25">
      <c r="C54" s="1125"/>
      <c r="D54" s="1126"/>
      <c r="E54" s="1126"/>
      <c r="F54" s="1126"/>
      <c r="G54" s="1126"/>
      <c r="H54" s="1126"/>
      <c r="I54" s="1126"/>
      <c r="J54" s="1126"/>
      <c r="K54" s="1126"/>
    </row>
    <row r="55" spans="1:19" x14ac:dyDescent="0.25">
      <c r="D55" s="254"/>
      <c r="E55" s="254"/>
      <c r="F55" s="254"/>
      <c r="I55" s="257"/>
    </row>
    <row r="56" spans="1:19" x14ac:dyDescent="0.25">
      <c r="D56" s="254"/>
      <c r="E56" s="254"/>
      <c r="F56" s="254"/>
      <c r="I56" s="257"/>
    </row>
    <row r="57" spans="1:19" x14ac:dyDescent="0.25">
      <c r="D57" s="254"/>
      <c r="E57" s="254"/>
      <c r="F57" s="254"/>
      <c r="I57" s="257"/>
    </row>
    <row r="58" spans="1:19" x14ac:dyDescent="0.25">
      <c r="K58" s="275"/>
    </row>
    <row r="59" spans="1:19" x14ac:dyDescent="0.25">
      <c r="C59" s="254"/>
      <c r="D59" s="254"/>
      <c r="E59" s="254"/>
      <c r="F59" s="254"/>
      <c r="G59" s="254"/>
      <c r="H59" s="254"/>
      <c r="I59" s="254"/>
      <c r="J59" s="254"/>
      <c r="K59" s="254"/>
    </row>
    <row r="60" spans="1:19" x14ac:dyDescent="0.25">
      <c r="C60" s="259"/>
      <c r="D60" s="260"/>
      <c r="E60" s="260"/>
      <c r="F60" s="260"/>
      <c r="G60" s="260"/>
      <c r="H60" s="260"/>
      <c r="I60" s="260"/>
      <c r="J60" s="260"/>
      <c r="K60" s="260"/>
    </row>
  </sheetData>
  <mergeCells count="12">
    <mergeCell ref="A1:S1"/>
    <mergeCell ref="A2:S2"/>
    <mergeCell ref="A3:S3"/>
    <mergeCell ref="L4:S4"/>
    <mergeCell ref="C4:C5"/>
    <mergeCell ref="A23:A31"/>
    <mergeCell ref="A19:A21"/>
    <mergeCell ref="C54:K54"/>
    <mergeCell ref="D4:K4"/>
    <mergeCell ref="A46:A51"/>
    <mergeCell ref="A6:A16"/>
    <mergeCell ref="A33:A44"/>
  </mergeCells>
  <pageMargins left="0.25" right="0.25" top="0.75" bottom="0.75" header="0.3" footer="0.3"/>
  <pageSetup scale="4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topLeftCell="F28" zoomScale="85" zoomScaleNormal="85" workbookViewId="0">
      <selection activeCell="M23" sqref="L23:M26"/>
    </sheetView>
  </sheetViews>
  <sheetFormatPr defaultRowHeight="15" x14ac:dyDescent="0.25"/>
  <cols>
    <col min="1" max="1" width="20.42578125" customWidth="1"/>
    <col min="2" max="2" width="26.140625" customWidth="1"/>
    <col min="3" max="5" width="10.5703125" bestFit="1" customWidth="1"/>
    <col min="6" max="6" width="13.42578125" customWidth="1"/>
    <col min="7" max="7" width="9.140625" customWidth="1"/>
    <col min="9" max="9" width="14.85546875" customWidth="1"/>
    <col min="12" max="12" width="11.7109375" bestFit="1" customWidth="1"/>
    <col min="13" max="13" width="16.28515625" customWidth="1"/>
    <col min="14" max="16" width="13.42578125" customWidth="1"/>
  </cols>
  <sheetData>
    <row r="1" spans="1:16" s="725" customFormat="1" x14ac:dyDescent="0.25">
      <c r="A1" s="725" t="s">
        <v>512</v>
      </c>
    </row>
    <row r="2" spans="1:16" x14ac:dyDescent="0.25">
      <c r="A2" t="s">
        <v>958</v>
      </c>
    </row>
    <row r="4" spans="1:16" x14ac:dyDescent="0.25">
      <c r="A4" t="s">
        <v>918</v>
      </c>
    </row>
    <row r="5" spans="1:16" x14ac:dyDescent="0.25">
      <c r="L5" t="s">
        <v>879</v>
      </c>
    </row>
    <row r="6" spans="1:16" x14ac:dyDescent="0.25">
      <c r="B6" t="s">
        <v>877</v>
      </c>
      <c r="C6" t="s">
        <v>878</v>
      </c>
      <c r="L6" s="666"/>
      <c r="M6" s="666"/>
      <c r="N6" s="668" t="s">
        <v>880</v>
      </c>
      <c r="O6" s="668" t="s">
        <v>881</v>
      </c>
      <c r="P6" s="668" t="s">
        <v>882</v>
      </c>
    </row>
    <row r="7" spans="1:16" x14ac:dyDescent="0.25">
      <c r="B7" t="s">
        <v>921</v>
      </c>
      <c r="C7" s="725" t="s">
        <v>922</v>
      </c>
      <c r="L7" s="667"/>
      <c r="M7" s="6" t="s">
        <v>414</v>
      </c>
      <c r="N7" s="668">
        <v>46</v>
      </c>
      <c r="O7" s="668">
        <v>47</v>
      </c>
      <c r="P7" s="668">
        <v>48</v>
      </c>
    </row>
    <row r="8" spans="1:16" x14ac:dyDescent="0.25">
      <c r="A8" s="448"/>
      <c r="B8" t="s">
        <v>923</v>
      </c>
      <c r="C8" s="440">
        <v>42671</v>
      </c>
      <c r="M8" t="s">
        <v>883</v>
      </c>
      <c r="N8" s="668">
        <v>18000</v>
      </c>
      <c r="O8" s="668">
        <v>18000</v>
      </c>
      <c r="P8" s="668">
        <v>18000</v>
      </c>
    </row>
    <row r="9" spans="1:16" x14ac:dyDescent="0.25">
      <c r="B9" t="s">
        <v>924</v>
      </c>
      <c r="M9" t="s">
        <v>885</v>
      </c>
      <c r="N9" s="668">
        <v>175</v>
      </c>
      <c r="O9" s="668">
        <v>175</v>
      </c>
      <c r="P9" s="668">
        <v>175</v>
      </c>
    </row>
    <row r="10" spans="1:16" x14ac:dyDescent="0.25">
      <c r="L10" s="666"/>
      <c r="M10" s="666" t="s">
        <v>884</v>
      </c>
      <c r="N10" s="668">
        <v>-260</v>
      </c>
      <c r="O10" s="668">
        <v>-260</v>
      </c>
      <c r="P10" s="668">
        <v>-260</v>
      </c>
    </row>
    <row r="11" spans="1:16" ht="30" customHeight="1" x14ac:dyDescent="0.25">
      <c r="B11" t="s">
        <v>1017</v>
      </c>
      <c r="C11">
        <f>SUM(H38:H44)</f>
        <v>186.27276011560696</v>
      </c>
      <c r="D11" t="s">
        <v>919</v>
      </c>
      <c r="E11" s="1246" t="s">
        <v>1019</v>
      </c>
      <c r="F11" s="1246"/>
      <c r="G11" s="1246"/>
      <c r="H11" s="1246"/>
      <c r="I11" s="1246"/>
      <c r="L11" s="666"/>
      <c r="M11" s="666"/>
      <c r="N11" s="666"/>
      <c r="O11" s="666"/>
      <c r="P11" s="666"/>
    </row>
    <row r="12" spans="1:16" s="666" customFormat="1" x14ac:dyDescent="0.25">
      <c r="C12" s="666">
        <v>24</v>
      </c>
      <c r="D12" s="666" t="s">
        <v>222</v>
      </c>
      <c r="L12"/>
      <c r="M12" t="s">
        <v>886</v>
      </c>
      <c r="N12" s="1033">
        <f>I45/3</f>
        <v>1040829.7436393852</v>
      </c>
      <c r="O12" s="1033">
        <f>N12</f>
        <v>1040829.7436393852</v>
      </c>
      <c r="P12" s="1033">
        <f>N12</f>
        <v>1040829.7436393852</v>
      </c>
    </row>
    <row r="13" spans="1:16" s="667" customFormat="1" x14ac:dyDescent="0.25">
      <c r="C13" s="667">
        <f>C12*C11</f>
        <v>4470.546242774567</v>
      </c>
      <c r="D13" s="667" t="s">
        <v>13</v>
      </c>
      <c r="L13" s="666"/>
      <c r="M13" s="666"/>
      <c r="N13" s="666"/>
    </row>
    <row r="14" spans="1:16" x14ac:dyDescent="0.25">
      <c r="B14" t="s">
        <v>920</v>
      </c>
      <c r="C14">
        <v>7.5</v>
      </c>
      <c r="D14" t="s">
        <v>9</v>
      </c>
    </row>
    <row r="15" spans="1:16" s="781" customFormat="1" x14ac:dyDescent="0.25">
      <c r="C15" s="447">
        <f>C14/'CHP Fuel Use, CEMS Data'!K49</f>
        <v>7.2815533980582527E-3</v>
      </c>
      <c r="D15" s="18" t="s">
        <v>605</v>
      </c>
      <c r="E15" s="18"/>
    </row>
    <row r="16" spans="1:16" x14ac:dyDescent="0.25">
      <c r="B16" t="s">
        <v>925</v>
      </c>
      <c r="C16">
        <f>C14*C13</f>
        <v>33529.096820809253</v>
      </c>
      <c r="D16" t="s">
        <v>51</v>
      </c>
    </row>
    <row r="17" spans="2:13" s="725" customFormat="1" x14ac:dyDescent="0.25">
      <c r="C17" s="18">
        <f>C16/'CHP Fuel Use, CEMS Data'!K49</f>
        <v>32.552521185251699</v>
      </c>
      <c r="D17" s="725" t="s">
        <v>579</v>
      </c>
    </row>
    <row r="18" spans="2:13" s="725" customFormat="1" x14ac:dyDescent="0.25">
      <c r="B18" s="725" t="s">
        <v>926</v>
      </c>
      <c r="C18" s="725">
        <f>C14*8760</f>
        <v>65700</v>
      </c>
      <c r="D18" s="725" t="s">
        <v>51</v>
      </c>
    </row>
    <row r="19" spans="2:13" s="465" customFormat="1" x14ac:dyDescent="0.25">
      <c r="B19" s="725"/>
      <c r="C19" s="18">
        <f>C18/'CHP Fuel Use, CEMS Data'!K49</f>
        <v>63.786407766990294</v>
      </c>
      <c r="D19" s="725" t="s">
        <v>579</v>
      </c>
    </row>
    <row r="20" spans="2:13" s="725" customFormat="1" x14ac:dyDescent="0.25">
      <c r="B20" s="725" t="s">
        <v>620</v>
      </c>
    </row>
    <row r="21" spans="2:13" s="666" customFormat="1" x14ac:dyDescent="0.25">
      <c r="B21" s="725"/>
      <c r="C21" s="725"/>
      <c r="D21" s="725"/>
      <c r="E21" s="725"/>
      <c r="F21" s="725"/>
      <c r="G21" s="725"/>
    </row>
    <row r="22" spans="2:13" ht="45" x14ac:dyDescent="0.25">
      <c r="B22" s="725" t="s">
        <v>5</v>
      </c>
      <c r="C22" s="724" t="s">
        <v>607</v>
      </c>
      <c r="D22" s="724" t="s">
        <v>608</v>
      </c>
      <c r="E22" s="724" t="s">
        <v>514</v>
      </c>
      <c r="F22" s="724" t="s">
        <v>609</v>
      </c>
      <c r="G22" s="724" t="s">
        <v>515</v>
      </c>
      <c r="I22" s="447">
        <f>E24</f>
        <v>9.7657563555755104E-3</v>
      </c>
    </row>
    <row r="23" spans="2:13" s="666" customFormat="1" x14ac:dyDescent="0.25">
      <c r="B23" s="725" t="s">
        <v>12</v>
      </c>
      <c r="C23" s="725">
        <v>100</v>
      </c>
      <c r="D23" s="18">
        <f>$C$17*C23</f>
        <v>3255.2521185251699</v>
      </c>
      <c r="E23" s="5">
        <f>D23/2000</f>
        <v>1.6276260592625849</v>
      </c>
      <c r="F23" s="2">
        <f>$C$19*C23</f>
        <v>6378.6407766990296</v>
      </c>
      <c r="G23" s="18">
        <f>F23/2000</f>
        <v>3.1893203883495147</v>
      </c>
      <c r="M23" s="785"/>
    </row>
    <row r="24" spans="2:13" x14ac:dyDescent="0.25">
      <c r="B24" s="725" t="s">
        <v>183</v>
      </c>
      <c r="C24" s="725">
        <v>0.6</v>
      </c>
      <c r="D24" s="18">
        <f t="shared" ref="D24:D30" si="0">$C$17*C24</f>
        <v>19.53151271115102</v>
      </c>
      <c r="E24" s="5">
        <f t="shared" ref="E24:E30" si="1">D24/2000</f>
        <v>9.7657563555755104E-3</v>
      </c>
      <c r="F24" s="2">
        <f t="shared" ref="F24:F30" si="2">$C$19*C24</f>
        <v>38.271844660194176</v>
      </c>
      <c r="G24" s="18">
        <f t="shared" ref="G24:G30" si="3">F24/2000</f>
        <v>1.9135922330097088E-2</v>
      </c>
      <c r="M24" s="785"/>
    </row>
    <row r="25" spans="2:13" x14ac:dyDescent="0.25">
      <c r="B25" s="725" t="s">
        <v>1</v>
      </c>
      <c r="C25" s="725">
        <v>84</v>
      </c>
      <c r="D25" s="18">
        <f t="shared" si="0"/>
        <v>2734.4117795611428</v>
      </c>
      <c r="E25" s="5">
        <f t="shared" si="1"/>
        <v>1.3672058897805714</v>
      </c>
      <c r="F25" s="2">
        <f t="shared" si="2"/>
        <v>5358.0582524271849</v>
      </c>
      <c r="G25" s="18">
        <f t="shared" si="3"/>
        <v>2.6790291262135923</v>
      </c>
      <c r="H25" s="698"/>
      <c r="I25" s="698"/>
      <c r="J25" s="675"/>
      <c r="K25" s="675"/>
      <c r="L25" s="675"/>
      <c r="M25" s="786"/>
    </row>
    <row r="26" spans="2:13" x14ac:dyDescent="0.25">
      <c r="B26" s="725" t="s">
        <v>4</v>
      </c>
      <c r="C26" s="725">
        <v>1.9</v>
      </c>
      <c r="D26" s="18">
        <f t="shared" si="0"/>
        <v>61.849790251978227</v>
      </c>
      <c r="E26" s="5">
        <f t="shared" si="1"/>
        <v>3.0924895125989112E-2</v>
      </c>
      <c r="F26" s="2">
        <f t="shared" si="2"/>
        <v>121.19417475728156</v>
      </c>
      <c r="G26" s="18">
        <f t="shared" si="3"/>
        <v>6.0597087378640779E-2</v>
      </c>
      <c r="H26" s="698"/>
      <c r="I26" s="698"/>
      <c r="J26" s="699"/>
      <c r="K26" s="699"/>
      <c r="L26" s="698"/>
      <c r="M26" s="787"/>
    </row>
    <row r="27" spans="2:13" s="667" customFormat="1" x14ac:dyDescent="0.25">
      <c r="B27" s="725" t="s">
        <v>60</v>
      </c>
      <c r="C27" s="725">
        <v>1.9</v>
      </c>
      <c r="D27" s="18">
        <f t="shared" si="0"/>
        <v>61.849790251978227</v>
      </c>
      <c r="E27" s="5">
        <f t="shared" si="1"/>
        <v>3.0924895125989112E-2</v>
      </c>
      <c r="F27" s="2">
        <f t="shared" si="2"/>
        <v>121.19417475728156</v>
      </c>
      <c r="G27" s="18">
        <f t="shared" si="3"/>
        <v>6.0597087378640779E-2</v>
      </c>
      <c r="H27" s="698"/>
      <c r="I27" s="698"/>
      <c r="J27" s="699"/>
      <c r="K27" s="699"/>
      <c r="L27" s="698"/>
      <c r="M27" s="698"/>
    </row>
    <row r="28" spans="2:13" x14ac:dyDescent="0.25">
      <c r="B28" s="725" t="s">
        <v>61</v>
      </c>
      <c r="C28" s="725">
        <v>1.9</v>
      </c>
      <c r="D28" s="18">
        <f t="shared" si="0"/>
        <v>61.849790251978227</v>
      </c>
      <c r="E28" s="5">
        <f t="shared" si="1"/>
        <v>3.0924895125989112E-2</v>
      </c>
      <c r="F28" s="2">
        <f t="shared" si="2"/>
        <v>121.19417475728156</v>
      </c>
      <c r="G28" s="18">
        <f t="shared" si="3"/>
        <v>6.0597087378640779E-2</v>
      </c>
      <c r="H28" s="675"/>
      <c r="I28" s="675"/>
      <c r="J28" s="699"/>
      <c r="K28" s="700"/>
      <c r="L28" s="701"/>
      <c r="M28" s="701"/>
    </row>
    <row r="29" spans="2:13" x14ac:dyDescent="0.25">
      <c r="B29" s="725" t="s">
        <v>610</v>
      </c>
      <c r="C29" s="725">
        <v>5.5</v>
      </c>
      <c r="D29" s="18">
        <f t="shared" si="0"/>
        <v>179.03886651888433</v>
      </c>
      <c r="E29" s="5">
        <f t="shared" si="1"/>
        <v>8.9519433259442172E-2</v>
      </c>
      <c r="F29" s="2">
        <f t="shared" si="2"/>
        <v>350.82524271844659</v>
      </c>
      <c r="G29" s="18">
        <f t="shared" si="3"/>
        <v>0.17541262135922328</v>
      </c>
      <c r="H29" s="675"/>
      <c r="I29" s="675"/>
      <c r="J29" s="675"/>
      <c r="K29" s="675"/>
      <c r="L29" s="675"/>
      <c r="M29" s="675"/>
    </row>
    <row r="30" spans="2:13" x14ac:dyDescent="0.25">
      <c r="B30" s="725" t="s">
        <v>102</v>
      </c>
      <c r="C30" s="725">
        <v>0.49</v>
      </c>
      <c r="D30" s="18">
        <f t="shared" si="0"/>
        <v>15.950735380773333</v>
      </c>
      <c r="E30" s="5">
        <f t="shared" si="1"/>
        <v>7.9753676903866668E-3</v>
      </c>
      <c r="F30" s="2">
        <f t="shared" si="2"/>
        <v>31.255339805825244</v>
      </c>
      <c r="G30" s="18">
        <f t="shared" si="3"/>
        <v>1.5627669902912623E-2</v>
      </c>
      <c r="H30" s="701"/>
      <c r="I30" s="698"/>
      <c r="J30" s="675"/>
      <c r="K30" s="675"/>
      <c r="L30" s="675"/>
      <c r="M30" s="675"/>
    </row>
    <row r="31" spans="2:13" x14ac:dyDescent="0.25">
      <c r="B31" s="699"/>
      <c r="C31" s="698"/>
      <c r="D31" s="698"/>
      <c r="E31" s="698"/>
      <c r="F31" s="698"/>
      <c r="G31" s="698"/>
      <c r="H31" s="698"/>
      <c r="I31" s="698"/>
      <c r="J31" s="675"/>
      <c r="K31" s="675"/>
      <c r="L31" s="675"/>
      <c r="M31" s="675"/>
    </row>
    <row r="34" spans="1:20" s="670" customFormat="1" x14ac:dyDescent="0.25">
      <c r="A34" s="1013" t="s">
        <v>1018</v>
      </c>
      <c r="B34" s="1010"/>
      <c r="C34" s="1010"/>
      <c r="D34" s="1010"/>
      <c r="E34" s="1010"/>
      <c r="F34" s="1010"/>
      <c r="G34" s="1010"/>
      <c r="H34" s="1010"/>
      <c r="I34" s="1010"/>
    </row>
    <row r="35" spans="1:20" s="670" customFormat="1" x14ac:dyDescent="0.25">
      <c r="A35" s="1013"/>
      <c r="B35" s="1010"/>
      <c r="C35" s="1010"/>
      <c r="D35" s="1010"/>
      <c r="E35" s="1010"/>
      <c r="F35" s="1010"/>
      <c r="G35" s="1010"/>
      <c r="H35" s="1010"/>
      <c r="I35" s="1010"/>
    </row>
    <row r="36" spans="1:20" ht="19.5" customHeight="1" x14ac:dyDescent="0.25">
      <c r="A36" s="1247"/>
      <c r="B36" s="1247"/>
      <c r="C36" s="1247"/>
      <c r="D36" s="1247"/>
      <c r="E36" s="1247"/>
      <c r="F36" s="1247"/>
      <c r="G36" s="1247"/>
      <c r="H36" s="1247"/>
      <c r="I36" s="1247"/>
      <c r="L36" s="1111"/>
      <c r="M36" s="1111"/>
      <c r="N36" s="1111"/>
      <c r="O36" s="1111"/>
      <c r="P36" s="1111"/>
      <c r="Q36" s="1111"/>
      <c r="R36" s="1111"/>
      <c r="S36" s="1111"/>
      <c r="T36" s="1111"/>
    </row>
    <row r="37" spans="1:20" ht="39" thickBot="1" x14ac:dyDescent="0.3">
      <c r="A37" s="1010"/>
      <c r="B37" s="1248" t="s">
        <v>887</v>
      </c>
      <c r="C37" s="1248"/>
      <c r="D37" s="1248"/>
      <c r="E37" s="1011" t="s">
        <v>996</v>
      </c>
      <c r="F37" s="1012" t="s">
        <v>997</v>
      </c>
      <c r="G37" s="1012" t="s">
        <v>888</v>
      </c>
      <c r="H37" s="1030" t="s">
        <v>1020</v>
      </c>
      <c r="I37" t="s">
        <v>1021</v>
      </c>
      <c r="K37" t="s">
        <v>1060</v>
      </c>
      <c r="L37" s="1111"/>
      <c r="M37" s="1111"/>
      <c r="N37" s="1111"/>
      <c r="O37" s="1111"/>
      <c r="P37" s="1111"/>
      <c r="Q37" s="1111"/>
      <c r="R37" s="1111"/>
      <c r="S37" s="1111"/>
      <c r="T37" s="1111"/>
    </row>
    <row r="38" spans="1:20" ht="15.75" thickBot="1" x14ac:dyDescent="0.3">
      <c r="A38" s="1014">
        <v>18</v>
      </c>
      <c r="B38" s="1015" t="s">
        <v>83</v>
      </c>
      <c r="C38" s="1016">
        <v>2.3699999999999999E-2</v>
      </c>
      <c r="D38" s="1016" t="s">
        <v>889</v>
      </c>
      <c r="E38" s="1017">
        <v>66769</v>
      </c>
      <c r="F38" s="1018">
        <v>579475</v>
      </c>
      <c r="G38" s="1019">
        <v>8.68</v>
      </c>
      <c r="H38" s="1031">
        <v>31</v>
      </c>
      <c r="I38" s="1033">
        <f t="shared" ref="I38:I44" si="4">E38/0.082644</f>
        <v>807911.04012390494</v>
      </c>
      <c r="K38" t="s">
        <v>946</v>
      </c>
      <c r="L38" s="1112">
        <f>SUM(I38:I40)/I45</f>
        <v>0.60104241343899545</v>
      </c>
      <c r="M38" s="1111"/>
      <c r="N38" s="1111"/>
      <c r="O38" s="1111"/>
      <c r="P38" s="1111"/>
      <c r="Q38" s="1111"/>
      <c r="R38" s="1111"/>
      <c r="S38" s="1111"/>
      <c r="T38" s="1111"/>
    </row>
    <row r="39" spans="1:20" ht="15.75" thickBot="1" x14ac:dyDescent="0.3">
      <c r="A39" s="1014">
        <v>18</v>
      </c>
      <c r="B39" s="1015" t="s">
        <v>107</v>
      </c>
      <c r="C39" s="1016">
        <v>2.3699999999999999E-2</v>
      </c>
      <c r="D39" s="1016" t="s">
        <v>889</v>
      </c>
      <c r="E39" s="1020">
        <v>43341</v>
      </c>
      <c r="F39" s="1021">
        <v>390159</v>
      </c>
      <c r="G39" s="1022">
        <v>9</v>
      </c>
      <c r="H39" s="1031">
        <v>28</v>
      </c>
      <c r="I39" s="1033">
        <f t="shared" si="4"/>
        <v>524430.08566865115</v>
      </c>
      <c r="K39" t="s">
        <v>947</v>
      </c>
      <c r="L39" s="1112">
        <f>I41/I45</f>
        <v>5.5224661409389468E-2</v>
      </c>
      <c r="M39" s="1111"/>
      <c r="N39" s="1111"/>
      <c r="O39" s="1111"/>
      <c r="P39" s="1111"/>
      <c r="Q39" s="1111"/>
      <c r="R39" s="1111"/>
      <c r="S39" s="1111"/>
      <c r="T39" s="1111"/>
    </row>
    <row r="40" spans="1:20" ht="15.75" thickBot="1" x14ac:dyDescent="0.3">
      <c r="A40" s="1014">
        <v>18</v>
      </c>
      <c r="B40" s="1015" t="s">
        <v>84</v>
      </c>
      <c r="C40" s="1016">
        <v>2.3699999999999999E-2</v>
      </c>
      <c r="D40" s="1016" t="s">
        <v>889</v>
      </c>
      <c r="E40" s="1020">
        <v>44992</v>
      </c>
      <c r="F40" s="1021">
        <v>408417</v>
      </c>
      <c r="G40" s="1022">
        <v>9.08</v>
      </c>
      <c r="H40" s="1031">
        <v>31</v>
      </c>
      <c r="I40" s="1033">
        <f t="shared" si="4"/>
        <v>544407.33749576495</v>
      </c>
      <c r="K40" t="s">
        <v>948</v>
      </c>
      <c r="L40" s="1112">
        <v>0</v>
      </c>
      <c r="M40" s="1111"/>
      <c r="N40" s="1111"/>
      <c r="O40" s="1111"/>
      <c r="P40" s="1111"/>
      <c r="Q40" s="1111"/>
      <c r="R40" s="1111"/>
      <c r="S40" s="1111"/>
      <c r="T40" s="1111"/>
    </row>
    <row r="41" spans="1:20" ht="15.75" thickBot="1" x14ac:dyDescent="0.3">
      <c r="A41" s="1014">
        <v>18</v>
      </c>
      <c r="B41" s="1015" t="s">
        <v>85</v>
      </c>
      <c r="C41" s="1016">
        <v>2.3699999999999999E-2</v>
      </c>
      <c r="D41" s="1016" t="s">
        <v>889</v>
      </c>
      <c r="E41" s="1020">
        <v>14251</v>
      </c>
      <c r="F41" s="1021">
        <v>120930</v>
      </c>
      <c r="G41" s="1022">
        <v>8.49</v>
      </c>
      <c r="H41" s="1031">
        <v>30</v>
      </c>
      <c r="I41" s="1033">
        <f t="shared" si="4"/>
        <v>172438.41053192006</v>
      </c>
      <c r="K41" t="s">
        <v>949</v>
      </c>
      <c r="L41" s="1112">
        <f>SUM(I42:I44)/I45</f>
        <v>0.34373292515161491</v>
      </c>
      <c r="M41" s="1111"/>
      <c r="N41" s="1111"/>
      <c r="O41" s="1111"/>
      <c r="P41" s="1111"/>
      <c r="Q41" s="1111"/>
      <c r="R41" s="1111"/>
      <c r="S41" s="1111"/>
      <c r="T41" s="1111"/>
    </row>
    <row r="42" spans="1:20" ht="15.75" thickBot="1" x14ac:dyDescent="0.3">
      <c r="A42" s="1014">
        <v>18</v>
      </c>
      <c r="B42" s="1023" t="s">
        <v>999</v>
      </c>
      <c r="C42" s="1024">
        <v>2.3699999999999999E-2</v>
      </c>
      <c r="D42" s="1024" t="s">
        <v>889</v>
      </c>
      <c r="E42" s="1025">
        <v>5838</v>
      </c>
      <c r="F42" s="1019">
        <v>56920.34</v>
      </c>
      <c r="G42" s="1019">
        <v>9.75</v>
      </c>
      <c r="H42" s="1032">
        <f>(E42*30)/E43</f>
        <v>5.2727601156069364</v>
      </c>
      <c r="I42" s="1033">
        <f t="shared" si="4"/>
        <v>70640.336866560188</v>
      </c>
      <c r="L42" s="1111"/>
      <c r="M42" s="1111"/>
      <c r="N42" s="1111"/>
      <c r="O42" s="1111"/>
      <c r="P42" s="1111"/>
      <c r="Q42" s="1111"/>
      <c r="R42" s="1111"/>
      <c r="S42" s="1111"/>
      <c r="T42" s="1111"/>
    </row>
    <row r="43" spans="1:20" ht="15.75" thickBot="1" x14ac:dyDescent="0.3">
      <c r="A43" s="1014">
        <v>18</v>
      </c>
      <c r="B43" s="1015" t="s">
        <v>998</v>
      </c>
      <c r="C43" s="1016">
        <v>2.3699999999999999E-2</v>
      </c>
      <c r="D43" s="1016" t="s">
        <v>889</v>
      </c>
      <c r="E43" s="1020">
        <v>33216</v>
      </c>
      <c r="F43" s="1021">
        <v>333965</v>
      </c>
      <c r="G43" s="1022">
        <v>10.050000000000001</v>
      </c>
      <c r="H43" s="1031">
        <v>30</v>
      </c>
      <c r="I43" s="1033">
        <f t="shared" si="4"/>
        <v>401916.65456657473</v>
      </c>
      <c r="L43" s="1111"/>
      <c r="M43" s="1111"/>
      <c r="N43" s="1111"/>
      <c r="O43" s="1111"/>
      <c r="P43" s="1111"/>
      <c r="Q43" s="1111"/>
      <c r="R43" s="1111"/>
      <c r="S43" s="1111"/>
      <c r="T43" s="1111"/>
    </row>
    <row r="44" spans="1:20" ht="15.75" thickBot="1" x14ac:dyDescent="0.3">
      <c r="A44" s="1014">
        <v>18</v>
      </c>
      <c r="B44" s="1015" t="s">
        <v>93</v>
      </c>
      <c r="C44" s="1016">
        <v>2.3699999999999999E-2</v>
      </c>
      <c r="D44" s="1016" t="s">
        <v>889</v>
      </c>
      <c r="E44" s="1020">
        <v>49648</v>
      </c>
      <c r="F44" s="1021">
        <v>458689</v>
      </c>
      <c r="G44" s="1022">
        <v>9.24</v>
      </c>
      <c r="H44" s="1031">
        <v>31</v>
      </c>
      <c r="I44" s="1033">
        <f t="shared" si="4"/>
        <v>600745.36566477909</v>
      </c>
      <c r="L44" s="1111"/>
      <c r="M44" s="1111"/>
      <c r="N44" s="1111"/>
      <c r="O44" s="1111"/>
      <c r="P44" s="1111"/>
      <c r="Q44" s="1111"/>
      <c r="R44" s="1111"/>
      <c r="S44" s="1111"/>
      <c r="T44" s="1111"/>
    </row>
    <row r="45" spans="1:20" x14ac:dyDescent="0.25">
      <c r="A45" s="1010"/>
      <c r="B45" s="1010"/>
      <c r="C45" s="1010"/>
      <c r="D45" s="1010"/>
      <c r="E45" s="1010"/>
      <c r="F45" s="1010"/>
      <c r="G45" s="1010"/>
      <c r="H45" s="670"/>
      <c r="I45" s="1034">
        <f>SUM(I38:I44)</f>
        <v>3122489.2309181555</v>
      </c>
      <c r="L45" s="1111"/>
      <c r="M45" s="1111"/>
      <c r="N45" s="1111"/>
      <c r="O45" s="1111"/>
      <c r="P45" s="1111"/>
      <c r="Q45" s="1111"/>
      <c r="R45" s="1111"/>
      <c r="S45" s="1111"/>
      <c r="T45" s="1111"/>
    </row>
    <row r="46" spans="1:20" ht="15.75" x14ac:dyDescent="0.25">
      <c r="A46" s="1026"/>
      <c r="B46" s="1010" t="s">
        <v>1022</v>
      </c>
      <c r="C46" s="1027"/>
      <c r="D46" s="1028"/>
      <c r="E46" s="1029"/>
      <c r="F46" s="1029"/>
      <c r="G46" s="1028"/>
      <c r="H46" s="1028"/>
      <c r="I46" s="1029"/>
      <c r="L46" s="1111"/>
      <c r="M46" s="1111"/>
      <c r="N46" s="1111"/>
      <c r="O46" s="1111"/>
      <c r="P46" s="1111"/>
      <c r="Q46" s="1111"/>
      <c r="R46" s="1111"/>
      <c r="S46" s="1111"/>
      <c r="T46" s="1111"/>
    </row>
    <row r="47" spans="1:20" x14ac:dyDescent="0.25">
      <c r="A47" s="1010"/>
      <c r="B47" s="1010"/>
      <c r="C47" s="1010"/>
      <c r="D47" s="1010"/>
      <c r="E47" s="1010"/>
      <c r="F47" s="1010"/>
      <c r="G47" s="1010"/>
      <c r="H47" s="1010"/>
      <c r="I47" s="1010"/>
      <c r="L47" s="1111"/>
      <c r="M47" s="1111"/>
      <c r="N47" s="1111"/>
      <c r="O47" s="1111"/>
      <c r="P47" s="1111"/>
      <c r="Q47" s="1111"/>
      <c r="R47" s="1111"/>
      <c r="S47" s="1111"/>
      <c r="T47" s="1111"/>
    </row>
    <row r="48" spans="1:20" x14ac:dyDescent="0.25">
      <c r="A48" s="1010"/>
      <c r="B48" s="1010"/>
      <c r="C48" s="1010"/>
      <c r="D48" s="1010"/>
      <c r="E48" s="1010"/>
      <c r="F48" s="1010"/>
      <c r="G48" s="1010"/>
      <c r="H48" s="1010"/>
      <c r="I48" s="1010"/>
      <c r="L48" s="1111"/>
      <c r="M48" s="1111"/>
      <c r="N48" s="1111"/>
      <c r="O48" s="1111"/>
      <c r="P48" s="1111"/>
      <c r="Q48" s="1111"/>
      <c r="R48" s="1111"/>
      <c r="S48" s="1111"/>
      <c r="T48" s="1111"/>
    </row>
  </sheetData>
  <mergeCells count="3">
    <mergeCell ref="E11:I11"/>
    <mergeCell ref="A36:I36"/>
    <mergeCell ref="B37:D3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opLeftCell="A47" zoomScale="70" zoomScaleNormal="70" workbookViewId="0">
      <selection activeCell="H64" sqref="H64"/>
    </sheetView>
  </sheetViews>
  <sheetFormatPr defaultRowHeight="15" x14ac:dyDescent="0.25"/>
  <cols>
    <col min="1" max="1" width="18.28515625" customWidth="1"/>
    <col min="2" max="2" width="35.28515625" customWidth="1"/>
    <col min="3" max="3" width="9" customWidth="1"/>
    <col min="4" max="4" width="14.85546875" customWidth="1"/>
    <col min="5" max="5" width="13.42578125" customWidth="1"/>
    <col min="6" max="6" width="14.85546875" customWidth="1"/>
    <col min="7" max="7" width="13" customWidth="1"/>
    <col min="8" max="8" width="19.42578125" customWidth="1"/>
    <col min="9" max="9" width="12.5703125" customWidth="1"/>
    <col min="10" max="10" width="10.5703125" customWidth="1"/>
    <col min="11" max="11" width="11.28515625" customWidth="1"/>
  </cols>
  <sheetData>
    <row r="1" spans="1:11" x14ac:dyDescent="0.25">
      <c r="A1">
        <v>2018</v>
      </c>
      <c r="B1" t="s">
        <v>336</v>
      </c>
      <c r="J1" s="440"/>
    </row>
    <row r="3" spans="1:11" x14ac:dyDescent="0.25">
      <c r="E3" s="247"/>
      <c r="F3" s="247" t="s">
        <v>1009</v>
      </c>
      <c r="G3" s="247" t="s">
        <v>337</v>
      </c>
      <c r="H3" s="247" t="s">
        <v>338</v>
      </c>
      <c r="I3" s="247" t="s">
        <v>338</v>
      </c>
      <c r="J3" s="247" t="s">
        <v>339</v>
      </c>
      <c r="K3" s="247" t="s">
        <v>339</v>
      </c>
    </row>
    <row r="4" spans="1:11" x14ac:dyDescent="0.25">
      <c r="A4" s="22" t="s">
        <v>340</v>
      </c>
      <c r="B4" s="22" t="s">
        <v>341</v>
      </c>
      <c r="C4" s="22" t="s">
        <v>342</v>
      </c>
      <c r="D4" s="22" t="s">
        <v>32</v>
      </c>
      <c r="E4" s="441" t="s">
        <v>343</v>
      </c>
      <c r="F4" s="638" t="s">
        <v>344</v>
      </c>
      <c r="G4" s="441" t="s">
        <v>182</v>
      </c>
      <c r="H4" s="441" t="s">
        <v>345</v>
      </c>
      <c r="I4" s="441" t="s">
        <v>182</v>
      </c>
      <c r="J4" s="441" t="s">
        <v>182</v>
      </c>
      <c r="K4" s="441" t="s">
        <v>181</v>
      </c>
    </row>
    <row r="5" spans="1:11" x14ac:dyDescent="0.25">
      <c r="A5" s="639">
        <v>40</v>
      </c>
      <c r="B5" s="441" t="s">
        <v>346</v>
      </c>
      <c r="C5" s="441" t="s">
        <v>347</v>
      </c>
      <c r="D5" s="441" t="s">
        <v>348</v>
      </c>
      <c r="E5" s="248">
        <v>234810</v>
      </c>
      <c r="F5" s="640">
        <f>('CHP Fuel Use, CEMS Data'!D19+'CHP Fuel Use, CEMS Data'!K19+'CHP Fuel Use, CEMS Data'!R19+'CHP Fuel Use, CEMS Data'!AA19)/2</f>
        <v>213278</v>
      </c>
      <c r="G5" s="22">
        <v>46.44</v>
      </c>
      <c r="H5" s="22">
        <v>1.7000000000000001E-2</v>
      </c>
      <c r="I5" s="641">
        <f>F5*H5/1000</f>
        <v>3.6257260000000002</v>
      </c>
      <c r="J5" s="642">
        <f>G5+I5</f>
        <v>50.065725999999998</v>
      </c>
      <c r="K5" s="641">
        <f>J5/2000</f>
        <v>2.5032862999999999E-2</v>
      </c>
    </row>
    <row r="6" spans="1:11" x14ac:dyDescent="0.25">
      <c r="A6" s="639">
        <v>38</v>
      </c>
      <c r="B6" s="22" t="s">
        <v>349</v>
      </c>
      <c r="C6" s="22" t="s">
        <v>347</v>
      </c>
      <c r="D6" s="22" t="s">
        <v>348</v>
      </c>
      <c r="E6" s="248">
        <v>234810</v>
      </c>
      <c r="F6" s="640">
        <f>F5</f>
        <v>213278</v>
      </c>
      <c r="G6" s="22">
        <v>46.44</v>
      </c>
      <c r="H6" s="22">
        <v>1.7000000000000001E-2</v>
      </c>
      <c r="I6" s="641">
        <f>F6*H6/1000</f>
        <v>3.6257260000000002</v>
      </c>
      <c r="J6" s="642">
        <f>G6+I6</f>
        <v>50.065725999999998</v>
      </c>
      <c r="K6" s="641">
        <f>J6/2000</f>
        <v>2.5032862999999999E-2</v>
      </c>
    </row>
    <row r="7" spans="1:11" x14ac:dyDescent="0.25">
      <c r="A7" s="639">
        <v>39</v>
      </c>
      <c r="B7" s="22" t="s">
        <v>350</v>
      </c>
      <c r="C7" s="22" t="s">
        <v>347</v>
      </c>
      <c r="D7" s="22" t="s">
        <v>348</v>
      </c>
      <c r="E7" s="22">
        <v>1500</v>
      </c>
      <c r="F7" s="248">
        <f>'Black Start Emerg. Generator'!B5</f>
        <v>205</v>
      </c>
      <c r="G7" s="22">
        <v>17.77</v>
      </c>
      <c r="H7" s="22">
        <v>1.2E-2</v>
      </c>
      <c r="I7" s="641">
        <f t="shared" ref="I7:I12" si="0">F7*H7/1000</f>
        <v>2.4599999999999999E-3</v>
      </c>
      <c r="J7" s="642">
        <f t="shared" ref="J7:J12" si="1">G7+I7</f>
        <v>17.772459999999999</v>
      </c>
      <c r="K7" s="641">
        <f t="shared" ref="K7:K21" si="2">J7/2000</f>
        <v>8.8862300000000002E-3</v>
      </c>
    </row>
    <row r="8" spans="1:11" x14ac:dyDescent="0.25">
      <c r="A8" s="639">
        <v>23</v>
      </c>
      <c r="B8" s="22" t="s">
        <v>351</v>
      </c>
      <c r="C8" s="22" t="s">
        <v>347</v>
      </c>
      <c r="D8" s="22" t="s">
        <v>352</v>
      </c>
      <c r="E8" s="22">
        <v>550</v>
      </c>
      <c r="F8" s="22">
        <f>'Small Boilers - Oil'!D8</f>
        <v>2090.8000000000002</v>
      </c>
      <c r="G8" s="22">
        <v>0.17</v>
      </c>
      <c r="H8" s="22">
        <v>1.7999999999999999E-2</v>
      </c>
      <c r="I8" s="641">
        <f>F8*H8/1000</f>
        <v>3.7634399999999998E-2</v>
      </c>
      <c r="J8" s="642">
        <f>G8+I8</f>
        <v>0.2076344</v>
      </c>
      <c r="K8" s="641">
        <f t="shared" si="2"/>
        <v>1.038172E-4</v>
      </c>
    </row>
    <row r="9" spans="1:11" ht="15.75" customHeight="1" x14ac:dyDescent="0.25">
      <c r="A9" s="639">
        <v>23</v>
      </c>
      <c r="B9" s="22" t="s">
        <v>353</v>
      </c>
      <c r="C9" s="22" t="s">
        <v>347</v>
      </c>
      <c r="D9" s="22" t="s">
        <v>352</v>
      </c>
      <c r="E9" s="22">
        <v>550</v>
      </c>
      <c r="F9" s="22">
        <f>'Small Boilers - Oil'!D9</f>
        <v>1507.3</v>
      </c>
      <c r="G9" s="22">
        <v>0.17</v>
      </c>
      <c r="H9" s="22">
        <v>1.7999999999999999E-2</v>
      </c>
      <c r="I9" s="641">
        <f t="shared" si="0"/>
        <v>2.7131399999999996E-2</v>
      </c>
      <c r="J9" s="642">
        <f t="shared" si="1"/>
        <v>0.19713140000000001</v>
      </c>
      <c r="K9" s="641">
        <f t="shared" si="2"/>
        <v>9.8565700000000011E-5</v>
      </c>
    </row>
    <row r="10" spans="1:11" x14ac:dyDescent="0.25">
      <c r="A10" s="639">
        <v>22</v>
      </c>
      <c r="B10" s="22" t="s">
        <v>354</v>
      </c>
      <c r="C10" s="22" t="s">
        <v>347</v>
      </c>
      <c r="D10" s="22" t="s">
        <v>355</v>
      </c>
      <c r="E10" s="22">
        <v>1000</v>
      </c>
      <c r="F10" s="1249">
        <f>I56</f>
        <v>555.5</v>
      </c>
      <c r="G10" s="22">
        <v>0.02</v>
      </c>
      <c r="H10" s="22">
        <v>1E-3</v>
      </c>
      <c r="I10" s="641">
        <f t="shared" si="0"/>
        <v>5.555E-4</v>
      </c>
      <c r="J10" s="642">
        <f t="shared" si="1"/>
        <v>2.0555500000000001E-2</v>
      </c>
      <c r="K10" s="641">
        <f t="shared" si="2"/>
        <v>1.027775E-5</v>
      </c>
    </row>
    <row r="11" spans="1:11" x14ac:dyDescent="0.25">
      <c r="A11" s="639">
        <v>22</v>
      </c>
      <c r="B11" s="22" t="s">
        <v>354</v>
      </c>
      <c r="C11" s="22" t="s">
        <v>347</v>
      </c>
      <c r="D11" s="22" t="s">
        <v>355</v>
      </c>
      <c r="E11" s="22">
        <v>1000</v>
      </c>
      <c r="F11" s="1250"/>
      <c r="G11" s="22">
        <v>0.02</v>
      </c>
      <c r="H11" s="22">
        <v>1E-3</v>
      </c>
      <c r="I11" s="641">
        <f>F11*H11/1000</f>
        <v>0</v>
      </c>
      <c r="J11" s="642">
        <f>G11+I11</f>
        <v>0.02</v>
      </c>
      <c r="K11" s="641">
        <f>J11/2000</f>
        <v>1.0000000000000001E-5</v>
      </c>
    </row>
    <row r="12" spans="1:11" x14ac:dyDescent="0.25">
      <c r="A12" s="639">
        <v>24</v>
      </c>
      <c r="B12" s="22" t="s">
        <v>356</v>
      </c>
      <c r="C12" s="22" t="s">
        <v>347</v>
      </c>
      <c r="D12" s="22" t="s">
        <v>357</v>
      </c>
      <c r="E12" s="22">
        <v>1000</v>
      </c>
      <c r="F12" s="1114">
        <f>I57</f>
        <v>51.5</v>
      </c>
      <c r="G12" s="22">
        <v>0.02</v>
      </c>
      <c r="H12" s="22">
        <v>1E-3</v>
      </c>
      <c r="I12" s="641">
        <f t="shared" si="0"/>
        <v>5.1500000000000005E-5</v>
      </c>
      <c r="J12" s="642">
        <f t="shared" si="1"/>
        <v>2.00515E-2</v>
      </c>
      <c r="K12" s="641">
        <f t="shared" si="2"/>
        <v>1.002575E-5</v>
      </c>
    </row>
    <row r="13" spans="1:11" x14ac:dyDescent="0.25">
      <c r="A13" s="745">
        <v>25</v>
      </c>
      <c r="B13" s="744" t="s">
        <v>833</v>
      </c>
      <c r="C13" s="22" t="s">
        <v>347</v>
      </c>
      <c r="D13" s="22" t="s">
        <v>832</v>
      </c>
      <c r="E13" s="647">
        <v>5000</v>
      </c>
      <c r="F13" s="1113">
        <f>('Emergency Generators - Diesel'!H84+'Emergency Generators - Diesel'!H85)/0.138</f>
        <v>1034.6106521739139</v>
      </c>
      <c r="G13" s="22">
        <v>0.17</v>
      </c>
      <c r="H13" s="22">
        <v>1.2E-2</v>
      </c>
      <c r="I13" s="641">
        <f t="shared" ref="I13" si="3">F13*H13/1000</f>
        <v>1.2415327826086967E-2</v>
      </c>
      <c r="J13" s="642">
        <f t="shared" ref="J13" si="4">G13+I13</f>
        <v>0.18241532782608699</v>
      </c>
      <c r="K13" s="641">
        <f t="shared" ref="K13" si="5">J13/2000</f>
        <v>9.1207663913043502E-5</v>
      </c>
    </row>
    <row r="14" spans="1:11" s="725" customFormat="1" x14ac:dyDescent="0.25">
      <c r="A14" s="745">
        <v>46</v>
      </c>
      <c r="B14" s="744" t="s">
        <v>914</v>
      </c>
      <c r="C14" s="22" t="s">
        <v>347</v>
      </c>
      <c r="D14" s="22" t="s">
        <v>917</v>
      </c>
      <c r="E14" s="647">
        <v>18000</v>
      </c>
      <c r="F14" s="1035">
        <f>'LNG Facility'!N12</f>
        <v>1040829.7436393852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</row>
    <row r="15" spans="1:11" s="725" customFormat="1" x14ac:dyDescent="0.25">
      <c r="A15" s="745">
        <v>47</v>
      </c>
      <c r="B15" s="744" t="s">
        <v>915</v>
      </c>
      <c r="C15" s="22" t="s">
        <v>347</v>
      </c>
      <c r="D15" s="22" t="s">
        <v>917</v>
      </c>
      <c r="E15" s="647">
        <v>18000</v>
      </c>
      <c r="F15" s="1035">
        <f>'LNG Facility'!O12</f>
        <v>1040829.7436393852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</row>
    <row r="16" spans="1:11" s="725" customFormat="1" x14ac:dyDescent="0.25">
      <c r="A16" s="745">
        <v>48</v>
      </c>
      <c r="B16" s="744" t="s">
        <v>916</v>
      </c>
      <c r="C16" s="22" t="s">
        <v>347</v>
      </c>
      <c r="D16" s="22" t="s">
        <v>917</v>
      </c>
      <c r="E16" s="647">
        <v>18000</v>
      </c>
      <c r="F16" s="1035">
        <f>'LNG Facility'!P12</f>
        <v>1040829.7436393852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</row>
    <row r="17" spans="1:13" x14ac:dyDescent="0.25">
      <c r="A17" s="639"/>
      <c r="B17" s="22"/>
      <c r="C17" s="22"/>
      <c r="D17" s="22"/>
      <c r="E17" s="22"/>
      <c r="F17" s="22"/>
      <c r="G17" s="22"/>
      <c r="H17" s="22"/>
      <c r="I17" s="641"/>
      <c r="J17" s="642"/>
      <c r="K17" s="641"/>
    </row>
    <row r="18" spans="1:13" x14ac:dyDescent="0.25">
      <c r="A18" s="639">
        <v>14</v>
      </c>
      <c r="B18" s="22" t="s">
        <v>358</v>
      </c>
      <c r="C18" s="22" t="s">
        <v>359</v>
      </c>
      <c r="D18" s="22" t="s">
        <v>348</v>
      </c>
      <c r="E18" s="22">
        <v>2500</v>
      </c>
      <c r="F18" s="746">
        <f>'Emergency Generators - Diesel'!H10/0.1385</f>
        <v>203.32851985559566</v>
      </c>
      <c r="G18" s="643">
        <v>0</v>
      </c>
      <c r="H18" s="22">
        <v>1.2E-2</v>
      </c>
      <c r="I18" s="641">
        <f t="shared" ref="I18:I23" si="6">F18*H18/1000</f>
        <v>2.4399422382671483E-3</v>
      </c>
      <c r="J18" s="642">
        <f t="shared" ref="J18:J23" si="7">G18+I18</f>
        <v>2.4399422382671483E-3</v>
      </c>
      <c r="K18" s="641">
        <f t="shared" si="2"/>
        <v>1.219971119133574E-6</v>
      </c>
    </row>
    <row r="19" spans="1:13" x14ac:dyDescent="0.25">
      <c r="A19" s="639">
        <v>12</v>
      </c>
      <c r="B19" s="22" t="s">
        <v>360</v>
      </c>
      <c r="C19" s="22" t="s">
        <v>359</v>
      </c>
      <c r="D19" s="22" t="s">
        <v>348</v>
      </c>
      <c r="E19" s="248">
        <v>10000</v>
      </c>
      <c r="F19" s="1254">
        <f>I55</f>
        <v>53547</v>
      </c>
      <c r="G19" s="643">
        <v>0</v>
      </c>
      <c r="H19" s="22">
        <v>1.2E-2</v>
      </c>
      <c r="I19" s="641">
        <f t="shared" si="6"/>
        <v>0.64256399999999991</v>
      </c>
      <c r="J19" s="642">
        <f t="shared" si="7"/>
        <v>0.64256399999999991</v>
      </c>
      <c r="K19" s="641">
        <f t="shared" si="2"/>
        <v>3.2128199999999994E-4</v>
      </c>
    </row>
    <row r="20" spans="1:13" x14ac:dyDescent="0.25">
      <c r="A20" s="639">
        <v>12</v>
      </c>
      <c r="B20" s="22" t="s">
        <v>361</v>
      </c>
      <c r="C20" s="22" t="s">
        <v>359</v>
      </c>
      <c r="D20" s="22" t="s">
        <v>348</v>
      </c>
      <c r="E20" s="248">
        <v>10000</v>
      </c>
      <c r="F20" s="1255"/>
      <c r="G20" s="643">
        <v>0</v>
      </c>
      <c r="H20" s="22">
        <v>1.2E-2</v>
      </c>
      <c r="I20" s="641">
        <f t="shared" si="6"/>
        <v>0</v>
      </c>
      <c r="J20" s="642">
        <f t="shared" si="7"/>
        <v>0</v>
      </c>
      <c r="K20" s="641">
        <f t="shared" si="2"/>
        <v>0</v>
      </c>
      <c r="M20" s="448"/>
    </row>
    <row r="21" spans="1:13" x14ac:dyDescent="0.25">
      <c r="A21" s="639">
        <v>12</v>
      </c>
      <c r="B21" s="22" t="s">
        <v>678</v>
      </c>
      <c r="C21" s="22" t="s">
        <v>359</v>
      </c>
      <c r="D21" s="22" t="s">
        <v>583</v>
      </c>
      <c r="E21" s="248">
        <v>10000</v>
      </c>
      <c r="F21" s="664">
        <f>I53</f>
        <v>202148</v>
      </c>
      <c r="G21" s="643">
        <v>0</v>
      </c>
      <c r="H21" s="22">
        <v>1.2E-2</v>
      </c>
      <c r="I21" s="641">
        <f t="shared" si="6"/>
        <v>2.4257759999999999</v>
      </c>
      <c r="J21" s="642">
        <f t="shared" si="7"/>
        <v>2.4257759999999999</v>
      </c>
      <c r="K21" s="641">
        <f t="shared" si="2"/>
        <v>1.2128880000000001E-3</v>
      </c>
      <c r="M21" s="448"/>
    </row>
    <row r="22" spans="1:13" ht="16.5" customHeight="1" x14ac:dyDescent="0.25">
      <c r="A22" s="639">
        <v>11</v>
      </c>
      <c r="B22" s="22" t="s">
        <v>362</v>
      </c>
      <c r="C22" s="22" t="s">
        <v>359</v>
      </c>
      <c r="D22" s="22" t="s">
        <v>323</v>
      </c>
      <c r="E22" s="248">
        <v>20000</v>
      </c>
      <c r="F22" s="665">
        <f>I54</f>
        <v>134461</v>
      </c>
      <c r="G22" s="643">
        <v>0</v>
      </c>
      <c r="H22" s="22">
        <v>5.5519999999999996</v>
      </c>
      <c r="I22" s="641">
        <f t="shared" si="6"/>
        <v>746.52747199999999</v>
      </c>
      <c r="J22" s="642">
        <f t="shared" si="7"/>
        <v>746.52747199999999</v>
      </c>
      <c r="K22" s="641">
        <f>J22/2000</f>
        <v>0.37326373600000001</v>
      </c>
      <c r="M22" s="448"/>
    </row>
    <row r="23" spans="1:13" x14ac:dyDescent="0.25">
      <c r="A23" s="639">
        <v>42</v>
      </c>
      <c r="B23" s="22" t="s">
        <v>589</v>
      </c>
      <c r="C23" s="22" t="s">
        <v>359</v>
      </c>
      <c r="D23" s="22" t="s">
        <v>322</v>
      </c>
      <c r="E23" s="647">
        <v>5000</v>
      </c>
      <c r="F23" s="106">
        <f>'Emergency Generators - Diesel'!H39/0.1385</f>
        <v>124.03039711191337</v>
      </c>
      <c r="G23" s="643">
        <v>0</v>
      </c>
      <c r="H23" s="22">
        <v>1.2E-2</v>
      </c>
      <c r="I23" s="250">
        <f t="shared" si="6"/>
        <v>1.4883647653429605E-3</v>
      </c>
      <c r="J23" s="250">
        <f t="shared" si="7"/>
        <v>1.4883647653429605E-3</v>
      </c>
      <c r="K23" s="250">
        <f>J23/2000</f>
        <v>7.4418238267148023E-7</v>
      </c>
      <c r="M23" s="448"/>
    </row>
    <row r="25" spans="1:13" x14ac:dyDescent="0.25">
      <c r="E25" s="2"/>
    </row>
    <row r="27" spans="1:13" x14ac:dyDescent="0.25">
      <c r="A27" t="s">
        <v>1010</v>
      </c>
    </row>
    <row r="28" spans="1:13" x14ac:dyDescent="0.25">
      <c r="E28" s="247"/>
      <c r="F28" s="247" t="s">
        <v>363</v>
      </c>
      <c r="G28" s="247" t="s">
        <v>337</v>
      </c>
      <c r="H28" s="247" t="s">
        <v>338</v>
      </c>
      <c r="I28" s="247" t="s">
        <v>338</v>
      </c>
      <c r="J28" s="247" t="s">
        <v>339</v>
      </c>
      <c r="K28" s="247" t="s">
        <v>339</v>
      </c>
    </row>
    <row r="29" spans="1:13" x14ac:dyDescent="0.25">
      <c r="A29" s="22" t="s">
        <v>340</v>
      </c>
      <c r="B29" s="22" t="s">
        <v>341</v>
      </c>
      <c r="C29" s="22" t="s">
        <v>342</v>
      </c>
      <c r="D29" s="22" t="s">
        <v>32</v>
      </c>
      <c r="E29" s="441" t="s">
        <v>343</v>
      </c>
      <c r="F29" s="638" t="s">
        <v>344</v>
      </c>
      <c r="G29" s="441" t="s">
        <v>182</v>
      </c>
      <c r="H29" s="441" t="s">
        <v>345</v>
      </c>
      <c r="I29" s="441" t="s">
        <v>182</v>
      </c>
      <c r="J29" s="441" t="s">
        <v>182</v>
      </c>
      <c r="K29" s="441" t="s">
        <v>181</v>
      </c>
    </row>
    <row r="30" spans="1:13" x14ac:dyDescent="0.25">
      <c r="A30" s="639">
        <v>40</v>
      </c>
      <c r="B30" s="441" t="s">
        <v>346</v>
      </c>
      <c r="C30" s="441" t="s">
        <v>347</v>
      </c>
      <c r="D30" s="441" t="s">
        <v>348</v>
      </c>
      <c r="E30" s="248">
        <v>234810</v>
      </c>
      <c r="F30" s="640">
        <f>24095693/2</f>
        <v>12047846.5</v>
      </c>
      <c r="G30" s="22">
        <v>46.44</v>
      </c>
      <c r="H30" s="22">
        <v>1.7000000000000001E-2</v>
      </c>
      <c r="I30" s="641">
        <f>F30*H30/1000</f>
        <v>204.8133905</v>
      </c>
      <c r="J30" s="642">
        <f>G30+I30</f>
        <v>251.25339049999999</v>
      </c>
      <c r="K30" s="641">
        <f>J30/2000</f>
        <v>0.12562669525</v>
      </c>
    </row>
    <row r="31" spans="1:13" x14ac:dyDescent="0.25">
      <c r="A31" s="639">
        <v>38</v>
      </c>
      <c r="B31" s="22" t="s">
        <v>349</v>
      </c>
      <c r="C31" s="22" t="s">
        <v>347</v>
      </c>
      <c r="D31" s="22" t="s">
        <v>348</v>
      </c>
      <c r="E31" s="248">
        <v>234810</v>
      </c>
      <c r="F31" s="640">
        <f>24095693/2</f>
        <v>12047846.5</v>
      </c>
      <c r="G31" s="22">
        <v>46.44</v>
      </c>
      <c r="H31" s="22">
        <v>1.7000000000000001E-2</v>
      </c>
      <c r="I31" s="641">
        <f>F31*H31/1000</f>
        <v>204.8133905</v>
      </c>
      <c r="J31" s="642">
        <f>G31+I31</f>
        <v>251.25339049999999</v>
      </c>
      <c r="K31" s="641">
        <f>J31/2000</f>
        <v>0.12562669525</v>
      </c>
    </row>
    <row r="32" spans="1:13" x14ac:dyDescent="0.25">
      <c r="A32" s="639">
        <v>39</v>
      </c>
      <c r="B32" s="22" t="s">
        <v>350</v>
      </c>
      <c r="C32" s="22" t="s">
        <v>347</v>
      </c>
      <c r="D32" s="22" t="s">
        <v>348</v>
      </c>
      <c r="E32" s="22">
        <v>1500</v>
      </c>
      <c r="F32" s="248">
        <v>19560</v>
      </c>
      <c r="G32" s="22">
        <v>17.77</v>
      </c>
      <c r="H32" s="22">
        <v>1.2E-2</v>
      </c>
      <c r="I32" s="641">
        <f>F32*H32/1000</f>
        <v>0.23472000000000001</v>
      </c>
      <c r="J32" s="642">
        <f>G32+I32</f>
        <v>18.004719999999999</v>
      </c>
      <c r="K32" s="641">
        <f>J32/2000</f>
        <v>9.0023599999999992E-3</v>
      </c>
    </row>
    <row r="33" spans="1:11" x14ac:dyDescent="0.25">
      <c r="A33" s="639">
        <v>25</v>
      </c>
      <c r="B33" s="22" t="s">
        <v>833</v>
      </c>
      <c r="C33" s="22" t="s">
        <v>347</v>
      </c>
      <c r="D33" s="22" t="s">
        <v>832</v>
      </c>
      <c r="E33" s="248">
        <v>5000</v>
      </c>
      <c r="F33" s="2">
        <v>61304</v>
      </c>
      <c r="I33" s="646"/>
      <c r="J33" s="230"/>
      <c r="K33" s="646"/>
    </row>
    <row r="35" spans="1:11" x14ac:dyDescent="0.25">
      <c r="B35" t="s">
        <v>364</v>
      </c>
    </row>
    <row r="36" spans="1:11" x14ac:dyDescent="0.25">
      <c r="B36" t="s">
        <v>365</v>
      </c>
    </row>
    <row r="37" spans="1:11" x14ac:dyDescent="0.25">
      <c r="B37" t="s">
        <v>834</v>
      </c>
    </row>
    <row r="40" spans="1:11" ht="15.75" thickBot="1" x14ac:dyDescent="0.3">
      <c r="A40" s="9" t="s">
        <v>582</v>
      </c>
      <c r="H40" s="648"/>
    </row>
    <row r="41" spans="1:11" ht="51.75" customHeight="1" thickBot="1" x14ac:dyDescent="0.3">
      <c r="B41" s="645"/>
      <c r="C41" s="645"/>
      <c r="D41" s="645"/>
      <c r="E41" s="645"/>
      <c r="F41" s="645"/>
      <c r="H41" s="1251" t="s">
        <v>1008</v>
      </c>
      <c r="I41" s="1252"/>
      <c r="J41" s="1253"/>
    </row>
    <row r="42" spans="1:11" ht="19.5" thickBot="1" x14ac:dyDescent="0.35">
      <c r="A42" t="s">
        <v>1006</v>
      </c>
      <c r="B42">
        <v>24812</v>
      </c>
      <c r="C42" t="s">
        <v>244</v>
      </c>
      <c r="D42" t="s">
        <v>1007</v>
      </c>
      <c r="E42" s="501"/>
      <c r="H42" s="649" t="s">
        <v>813</v>
      </c>
      <c r="I42" s="650" t="s">
        <v>814</v>
      </c>
      <c r="J42" s="651" t="s">
        <v>29</v>
      </c>
    </row>
    <row r="43" spans="1:11" ht="15.75" thickBot="1" x14ac:dyDescent="0.3">
      <c r="A43" t="s">
        <v>1006</v>
      </c>
      <c r="B43" s="644">
        <f>B42*8.34*0.935</f>
        <v>193481.49479999999</v>
      </c>
      <c r="C43" t="s">
        <v>321</v>
      </c>
      <c r="H43" s="652" t="s">
        <v>811</v>
      </c>
      <c r="I43" s="1042"/>
      <c r="J43" s="653" t="s">
        <v>0</v>
      </c>
    </row>
    <row r="44" spans="1:11" ht="15.75" thickBot="1" x14ac:dyDescent="0.3">
      <c r="H44" s="654" t="s">
        <v>812</v>
      </c>
      <c r="I44" s="1042"/>
      <c r="J44" s="655" t="s">
        <v>0</v>
      </c>
    </row>
    <row r="45" spans="1:11" ht="15.75" thickBot="1" x14ac:dyDescent="0.3">
      <c r="A45" t="s">
        <v>584</v>
      </c>
      <c r="B45">
        <v>24000</v>
      </c>
      <c r="H45" s="652" t="s">
        <v>839</v>
      </c>
      <c r="I45" s="1042"/>
      <c r="J45" s="653" t="s">
        <v>0</v>
      </c>
    </row>
    <row r="46" spans="1:11" ht="15.75" thickBot="1" x14ac:dyDescent="0.3">
      <c r="A46" t="s">
        <v>585</v>
      </c>
      <c r="B46">
        <f>0.0816*2000</f>
        <v>163.20000000000002</v>
      </c>
      <c r="C46" t="s">
        <v>587</v>
      </c>
      <c r="H46" s="654" t="s">
        <v>815</v>
      </c>
      <c r="I46" s="1042"/>
      <c r="J46" s="655" t="s">
        <v>0</v>
      </c>
    </row>
    <row r="47" spans="1:11" ht="15.75" customHeight="1" thickBot="1" x14ac:dyDescent="0.3">
      <c r="H47" s="652" t="s">
        <v>816</v>
      </c>
      <c r="I47" s="1042"/>
      <c r="J47" s="653" t="s">
        <v>0</v>
      </c>
    </row>
    <row r="48" spans="1:11" ht="15.75" thickBot="1" x14ac:dyDescent="0.3">
      <c r="A48" t="s">
        <v>1043</v>
      </c>
      <c r="B48">
        <f>B46*B42/B45</f>
        <v>168.72160000000002</v>
      </c>
      <c r="C48" t="s">
        <v>587</v>
      </c>
      <c r="H48" s="654" t="s">
        <v>840</v>
      </c>
      <c r="I48" s="1042"/>
      <c r="J48" s="655" t="s">
        <v>817</v>
      </c>
    </row>
    <row r="49" spans="1:15" ht="15.75" thickBot="1" x14ac:dyDescent="0.3">
      <c r="B49">
        <f>B48/2000</f>
        <v>8.4360800000000014E-2</v>
      </c>
      <c r="C49" t="s">
        <v>588</v>
      </c>
      <c r="H49" s="652" t="s">
        <v>841</v>
      </c>
      <c r="I49" s="1042"/>
      <c r="J49" s="653" t="s">
        <v>0</v>
      </c>
    </row>
    <row r="50" spans="1:15" ht="15.75" thickBot="1" x14ac:dyDescent="0.3">
      <c r="H50" s="654" t="s">
        <v>842</v>
      </c>
      <c r="I50" s="1042"/>
      <c r="J50" s="655" t="s">
        <v>0</v>
      </c>
    </row>
    <row r="51" spans="1:15" x14ac:dyDescent="0.25">
      <c r="A51" t="s">
        <v>586</v>
      </c>
      <c r="B51">
        <v>0.41</v>
      </c>
      <c r="C51" t="s">
        <v>588</v>
      </c>
    </row>
    <row r="52" spans="1:15" x14ac:dyDescent="0.25">
      <c r="H52" s="670" t="s">
        <v>1062</v>
      </c>
      <c r="I52" s="670"/>
      <c r="J52" s="670"/>
      <c r="K52" s="670"/>
      <c r="L52" s="670"/>
      <c r="M52" s="670"/>
      <c r="N52" s="670"/>
    </row>
    <row r="53" spans="1:15" x14ac:dyDescent="0.25">
      <c r="A53" t="s">
        <v>596</v>
      </c>
      <c r="B53">
        <f>B48/B42</f>
        <v>6.8000000000000014E-3</v>
      </c>
      <c r="H53" s="987" t="s">
        <v>1059</v>
      </c>
      <c r="I53" s="988">
        <v>202148</v>
      </c>
      <c r="J53" s="989" t="s">
        <v>244</v>
      </c>
      <c r="K53" s="990"/>
      <c r="L53" s="991"/>
      <c r="M53" s="989"/>
      <c r="N53" s="989"/>
      <c r="O53" s="992"/>
    </row>
    <row r="54" spans="1:15" x14ac:dyDescent="0.25">
      <c r="H54" s="987" t="s">
        <v>323</v>
      </c>
      <c r="I54" s="988">
        <v>134461</v>
      </c>
      <c r="J54" s="989" t="s">
        <v>244</v>
      </c>
      <c r="K54" s="990"/>
      <c r="L54" s="991"/>
      <c r="M54" s="989"/>
      <c r="N54" s="989"/>
      <c r="O54" s="992"/>
    </row>
    <row r="55" spans="1:15" x14ac:dyDescent="0.25">
      <c r="H55" s="987" t="s">
        <v>1061</v>
      </c>
      <c r="I55" s="988">
        <v>53547</v>
      </c>
      <c r="J55" s="989" t="s">
        <v>244</v>
      </c>
      <c r="K55" s="990"/>
      <c r="L55" s="991"/>
      <c r="M55" s="989"/>
      <c r="N55" s="989"/>
      <c r="O55" s="992"/>
    </row>
    <row r="56" spans="1:15" x14ac:dyDescent="0.25">
      <c r="H56" s="987" t="s">
        <v>355</v>
      </c>
      <c r="I56" s="988">
        <v>555.5</v>
      </c>
      <c r="J56" s="989" t="s">
        <v>244</v>
      </c>
      <c r="K56" s="990"/>
      <c r="L56" s="991"/>
      <c r="M56" s="989"/>
      <c r="N56" s="989"/>
      <c r="O56" s="992"/>
    </row>
    <row r="57" spans="1:15" x14ac:dyDescent="0.25">
      <c r="H57" s="987" t="s">
        <v>816</v>
      </c>
      <c r="I57" s="988">
        <v>51.5</v>
      </c>
      <c r="J57" s="989" t="s">
        <v>244</v>
      </c>
      <c r="K57" s="990"/>
      <c r="L57" s="991"/>
      <c r="M57" s="989"/>
      <c r="N57" s="989"/>
      <c r="O57" s="992"/>
    </row>
    <row r="58" spans="1:15" x14ac:dyDescent="0.25">
      <c r="H58" s="987"/>
      <c r="I58" s="993"/>
      <c r="J58" s="994"/>
      <c r="K58" s="995"/>
      <c r="L58" s="995"/>
      <c r="M58" s="994"/>
      <c r="N58" s="994"/>
      <c r="O58" s="992"/>
    </row>
    <row r="59" spans="1:15" x14ac:dyDescent="0.25">
      <c r="H59" s="1115"/>
      <c r="I59" s="1115"/>
      <c r="J59" s="994"/>
      <c r="K59" s="995"/>
      <c r="L59" s="995"/>
      <c r="M59" s="994"/>
      <c r="N59" s="994"/>
      <c r="O59" s="992"/>
    </row>
    <row r="60" spans="1:15" x14ac:dyDescent="0.25">
      <c r="H60" s="1116"/>
      <c r="I60" s="1115"/>
      <c r="J60" s="992"/>
      <c r="K60" s="992"/>
      <c r="L60" s="992"/>
      <c r="M60" s="992"/>
      <c r="N60" s="992"/>
      <c r="O60" s="992"/>
    </row>
    <row r="61" spans="1:15" x14ac:dyDescent="0.25">
      <c r="H61" s="1116"/>
      <c r="I61" s="1115"/>
      <c r="J61" s="992"/>
      <c r="K61" s="992"/>
      <c r="L61" s="992"/>
      <c r="M61" s="992"/>
      <c r="N61" s="992"/>
      <c r="O61" s="992"/>
    </row>
  </sheetData>
  <mergeCells count="3">
    <mergeCell ref="F10:F11"/>
    <mergeCell ref="H41:J41"/>
    <mergeCell ref="F19:F20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opLeftCell="P18" zoomScale="85" zoomScaleNormal="85" workbookViewId="0">
      <selection activeCell="D10" sqref="D10:D17"/>
    </sheetView>
  </sheetViews>
  <sheetFormatPr defaultRowHeight="15" x14ac:dyDescent="0.25"/>
  <cols>
    <col min="1" max="1" width="4.7109375" customWidth="1"/>
    <col min="2" max="2" width="33.7109375" customWidth="1"/>
    <col min="3" max="3" width="12.7109375" customWidth="1"/>
    <col min="4" max="4" width="11.140625" style="7" customWidth="1"/>
    <col min="5" max="5" width="11.85546875" style="7" customWidth="1"/>
    <col min="6" max="6" width="11" style="7" customWidth="1"/>
    <col min="7" max="8" width="9" style="7" customWidth="1"/>
    <col min="9" max="9" width="11.28515625" style="7" customWidth="1"/>
    <col min="10" max="20" width="9" style="7" customWidth="1"/>
    <col min="22" max="22" width="10.28515625" bestFit="1" customWidth="1"/>
    <col min="23" max="23" width="14.42578125" customWidth="1"/>
    <col min="24" max="24" width="14" customWidth="1"/>
  </cols>
  <sheetData>
    <row r="1" spans="1:24" x14ac:dyDescent="0.25">
      <c r="B1" s="1264" t="s">
        <v>249</v>
      </c>
      <c r="C1" s="1264"/>
      <c r="D1" s="1264"/>
      <c r="E1" s="1264"/>
      <c r="F1" s="1264"/>
      <c r="G1" s="1264"/>
      <c r="H1" s="1264"/>
      <c r="I1" s="1264"/>
      <c r="J1" s="1264"/>
      <c r="K1" s="1264"/>
      <c r="L1" s="1264"/>
      <c r="M1" s="1264"/>
      <c r="N1" s="1264"/>
      <c r="O1" s="1264"/>
      <c r="P1" s="1264"/>
      <c r="Q1" s="1264"/>
      <c r="R1" s="1264"/>
      <c r="S1" s="1264"/>
      <c r="T1" s="1264"/>
    </row>
    <row r="2" spans="1:24" x14ac:dyDescent="0.25">
      <c r="B2" s="1264" t="s">
        <v>1023</v>
      </c>
      <c r="C2" s="1264"/>
      <c r="D2" s="1264"/>
      <c r="E2" s="1264"/>
      <c r="F2" s="1264"/>
      <c r="G2" s="1264"/>
      <c r="H2" s="1264"/>
      <c r="I2" s="1264"/>
      <c r="J2" s="1264"/>
      <c r="K2" s="1264"/>
      <c r="L2" s="1264"/>
      <c r="M2" s="1264"/>
      <c r="N2" s="1264"/>
      <c r="O2" s="1264"/>
      <c r="P2" s="1264"/>
      <c r="Q2" s="1264"/>
      <c r="R2" s="1264"/>
      <c r="S2" s="1264"/>
      <c r="T2" s="1264"/>
    </row>
    <row r="3" spans="1:24" ht="15.75" thickBot="1" x14ac:dyDescent="0.3"/>
    <row r="4" spans="1:24" ht="15.75" thickBot="1" x14ac:dyDescent="0.3">
      <c r="B4" s="1258" t="s">
        <v>506</v>
      </c>
      <c r="C4" s="1259"/>
      <c r="D4" s="1259"/>
      <c r="E4" s="1259"/>
      <c r="F4" s="1259"/>
      <c r="G4" s="1259"/>
      <c r="H4" s="1259"/>
      <c r="I4" s="1259"/>
      <c r="J4" s="1259"/>
      <c r="K4" s="1259"/>
      <c r="L4" s="1259"/>
      <c r="M4" s="1259"/>
      <c r="N4" s="1259"/>
      <c r="O4" s="1259"/>
      <c r="P4" s="1259"/>
      <c r="Q4" s="1259"/>
      <c r="R4" s="1259"/>
      <c r="S4" s="1259"/>
      <c r="T4" s="1260"/>
    </row>
    <row r="5" spans="1:24" x14ac:dyDescent="0.25">
      <c r="B5" s="284"/>
      <c r="C5" s="353"/>
      <c r="D5" s="424"/>
      <c r="E5" s="425"/>
      <c r="F5" s="426"/>
      <c r="G5" s="1261" t="s">
        <v>218</v>
      </c>
      <c r="H5" s="1262"/>
      <c r="I5" s="1263" t="s">
        <v>12</v>
      </c>
      <c r="J5" s="1263" t="s">
        <v>7</v>
      </c>
      <c r="K5" s="1263" t="s">
        <v>1</v>
      </c>
      <c r="L5" s="1263" t="s">
        <v>7</v>
      </c>
      <c r="M5" s="1263" t="s">
        <v>2</v>
      </c>
      <c r="N5" s="1263" t="s">
        <v>7</v>
      </c>
      <c r="O5" s="1263" t="s">
        <v>573</v>
      </c>
      <c r="P5" s="1263" t="s">
        <v>7</v>
      </c>
      <c r="Q5" s="1263" t="s">
        <v>61</v>
      </c>
      <c r="R5" s="1263"/>
      <c r="S5" s="1263" t="s">
        <v>102</v>
      </c>
      <c r="T5" s="1265"/>
    </row>
    <row r="6" spans="1:24" ht="26.25" x14ac:dyDescent="0.25">
      <c r="B6" s="354" t="s">
        <v>250</v>
      </c>
      <c r="C6" s="288" t="s">
        <v>252</v>
      </c>
      <c r="D6" s="427" t="s">
        <v>507</v>
      </c>
      <c r="E6" s="427" t="s">
        <v>508</v>
      </c>
      <c r="F6" s="427" t="s">
        <v>509</v>
      </c>
      <c r="G6" s="428" t="s">
        <v>253</v>
      </c>
      <c r="H6" s="428" t="s">
        <v>254</v>
      </c>
      <c r="I6" s="428" t="s">
        <v>253</v>
      </c>
      <c r="J6" s="428" t="s">
        <v>254</v>
      </c>
      <c r="K6" s="428" t="s">
        <v>253</v>
      </c>
      <c r="L6" s="428" t="s">
        <v>254</v>
      </c>
      <c r="M6" s="428" t="s">
        <v>253</v>
      </c>
      <c r="N6" s="428" t="s">
        <v>254</v>
      </c>
      <c r="O6" s="428" t="s">
        <v>253</v>
      </c>
      <c r="P6" s="428" t="s">
        <v>254</v>
      </c>
      <c r="Q6" s="428" t="s">
        <v>253</v>
      </c>
      <c r="R6" s="428" t="s">
        <v>254</v>
      </c>
      <c r="S6" s="428" t="s">
        <v>253</v>
      </c>
      <c r="T6" s="429" t="s">
        <v>254</v>
      </c>
      <c r="U6" s="242"/>
      <c r="V6" s="241"/>
      <c r="W6" s="243"/>
      <c r="X6" s="244"/>
    </row>
    <row r="7" spans="1:24" ht="15.75" x14ac:dyDescent="0.25">
      <c r="B7" s="96"/>
      <c r="C7" s="22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1"/>
      <c r="U7" s="242"/>
      <c r="V7" s="241"/>
      <c r="W7" s="243"/>
      <c r="X7" s="244"/>
    </row>
    <row r="8" spans="1:24" s="9" customFormat="1" ht="15.75" x14ac:dyDescent="0.25">
      <c r="B8" s="355" t="s">
        <v>565</v>
      </c>
      <c r="C8" s="356" t="s">
        <v>256</v>
      </c>
      <c r="D8" s="357">
        <v>4.2</v>
      </c>
      <c r="E8" s="982">
        <f>'NG, Diesel and Propane totals'!B20*2/3</f>
        <v>34688.533333333333</v>
      </c>
      <c r="F8" s="357">
        <f>E8/10270</f>
        <v>3.3776566049983772</v>
      </c>
      <c r="G8" s="357">
        <f>SUM(F8*$G$39)</f>
        <v>2.0265939629990264</v>
      </c>
      <c r="H8" s="357">
        <f t="shared" ref="H8:H17" si="0">SUM(G8/2000)</f>
        <v>1.0132969814995133E-3</v>
      </c>
      <c r="I8" s="357">
        <f>SUM(F8*$I$39)</f>
        <v>337.76566049983774</v>
      </c>
      <c r="J8" s="357">
        <f t="shared" ref="J8:J17" si="1">SUM(I8/2000)</f>
        <v>0.16888283024991887</v>
      </c>
      <c r="K8" s="357">
        <f>SUM(F8*$K$39)</f>
        <v>283.72315481986368</v>
      </c>
      <c r="L8" s="357">
        <f t="shared" ref="L8:L17" si="2">SUM(K8/2000)</f>
        <v>0.14186157740993183</v>
      </c>
      <c r="M8" s="357">
        <f>SUM(F8*$M$39)</f>
        <v>18.577111327491075</v>
      </c>
      <c r="N8" s="357">
        <f t="shared" ref="N8:N17" si="3">SUM(M8/2000)</f>
        <v>9.2885556637455381E-3</v>
      </c>
      <c r="O8" s="357">
        <f>SUM(F8*$O$39)</f>
        <v>6.4175475494969163</v>
      </c>
      <c r="P8" s="357">
        <f>SUM(O8/2000)</f>
        <v>3.2087737747484584E-3</v>
      </c>
      <c r="Q8" s="357">
        <f>SUM(F8*$Q$39)</f>
        <v>6.4175475494969163</v>
      </c>
      <c r="R8" s="357">
        <f>SUM(Q8/2000)</f>
        <v>3.2087737747484584E-3</v>
      </c>
      <c r="S8" s="357">
        <f>SUM(F8*$S$39)</f>
        <v>10.808501135994808</v>
      </c>
      <c r="T8" s="373">
        <f>SUM(S8/2000)</f>
        <v>5.4042505679974037E-3</v>
      </c>
      <c r="U8" s="358"/>
      <c r="V8" s="359"/>
      <c r="W8" s="360"/>
      <c r="X8" s="361"/>
    </row>
    <row r="9" spans="1:24" ht="16.5" thickBot="1" x14ac:dyDescent="0.3">
      <c r="B9" s="96"/>
      <c r="C9" s="22"/>
      <c r="D9" s="351"/>
      <c r="E9" s="983"/>
      <c r="F9" s="351"/>
      <c r="G9" s="351"/>
      <c r="H9" s="351"/>
      <c r="I9" s="351"/>
      <c r="J9" s="351"/>
      <c r="K9" s="351"/>
      <c r="L9" s="351"/>
      <c r="M9" s="351"/>
      <c r="N9" s="351"/>
      <c r="O9" s="351"/>
      <c r="P9" s="351"/>
      <c r="Q9" s="351"/>
      <c r="R9" s="351"/>
      <c r="S9" s="351"/>
      <c r="T9" s="374"/>
      <c r="U9" s="242"/>
      <c r="V9" s="241"/>
      <c r="W9" s="243"/>
      <c r="X9" s="244"/>
    </row>
    <row r="10" spans="1:24" ht="15.75" x14ac:dyDescent="0.25">
      <c r="A10" s="1229" t="s">
        <v>647</v>
      </c>
      <c r="B10" s="96" t="s">
        <v>255</v>
      </c>
      <c r="C10" s="22" t="s">
        <v>256</v>
      </c>
      <c r="D10" s="351">
        <v>2.1</v>
      </c>
      <c r="E10" s="983">
        <f>'NG, Diesel and Propane totals'!E20/3</f>
        <v>17344.266666666666</v>
      </c>
      <c r="F10" s="351">
        <f t="shared" ref="F10:F17" si="4">E10/10270</f>
        <v>1.6888283024991886</v>
      </c>
      <c r="G10" s="351">
        <f t="shared" ref="G10:G16" si="5">SUM(F10*$G$39)</f>
        <v>1.0132969814995132</v>
      </c>
      <c r="H10" s="351">
        <f t="shared" si="0"/>
        <v>5.0664849074975665E-4</v>
      </c>
      <c r="I10" s="351">
        <f t="shared" ref="I10:I15" si="6">SUM(F10*$I$39)</f>
        <v>168.88283024991887</v>
      </c>
      <c r="J10" s="351">
        <f t="shared" si="1"/>
        <v>8.4441415124959437E-2</v>
      </c>
      <c r="K10" s="351">
        <f t="shared" ref="K10:K15" si="7">SUM(F10*$K$39)</f>
        <v>141.86157740993184</v>
      </c>
      <c r="L10" s="351">
        <f t="shared" si="2"/>
        <v>7.0930788704965914E-2</v>
      </c>
      <c r="M10" s="351">
        <f t="shared" ref="M10:M16" si="8">SUM(F10*$M$39)</f>
        <v>9.2885556637455373</v>
      </c>
      <c r="N10" s="351">
        <f t="shared" si="3"/>
        <v>4.6442778318727691E-3</v>
      </c>
      <c r="O10" s="351">
        <f t="shared" ref="O10:O16" si="9">SUM(F10*$O$39)</f>
        <v>3.2087737747484582</v>
      </c>
      <c r="P10" s="351">
        <f t="shared" ref="P10:P17" si="10">SUM(O10/2000)</f>
        <v>1.6043868873742292E-3</v>
      </c>
      <c r="Q10" s="351">
        <f t="shared" ref="Q10:Q17" si="11">SUM(F10*$Q$39)</f>
        <v>3.2087737747484582</v>
      </c>
      <c r="R10" s="351">
        <f t="shared" ref="R10:R17" si="12">SUM(Q10/2000)</f>
        <v>1.6043868873742292E-3</v>
      </c>
      <c r="S10" s="351">
        <f t="shared" ref="S10:S16" si="13">SUM(F10*$S$39)</f>
        <v>5.404250567997404</v>
      </c>
      <c r="T10" s="374">
        <f t="shared" ref="T10:T17" si="14">SUM(S10/2000)</f>
        <v>2.7021252839987018E-3</v>
      </c>
      <c r="U10" s="242"/>
      <c r="V10" s="241"/>
      <c r="W10" s="243"/>
      <c r="X10" s="244"/>
    </row>
    <row r="11" spans="1:24" ht="15.75" x14ac:dyDescent="0.25">
      <c r="A11" s="1230"/>
      <c r="B11" s="297" t="s">
        <v>504</v>
      </c>
      <c r="C11" s="247" t="s">
        <v>256</v>
      </c>
      <c r="D11" s="352">
        <v>1.34</v>
      </c>
      <c r="E11" s="984">
        <f>'NG, Diesel and Propane totals'!B33/2</f>
        <v>22263.95</v>
      </c>
      <c r="F11" s="351">
        <f t="shared" si="4"/>
        <v>2.1678627069133398</v>
      </c>
      <c r="G11" s="351">
        <f t="shared" si="5"/>
        <v>1.3007176241480038</v>
      </c>
      <c r="H11" s="351">
        <f>SUM(G11/2000)</f>
        <v>6.5035881207400187E-4</v>
      </c>
      <c r="I11" s="351">
        <f t="shared" si="6"/>
        <v>216.78627069133398</v>
      </c>
      <c r="J11" s="351">
        <f t="shared" si="1"/>
        <v>0.108393135345667</v>
      </c>
      <c r="K11" s="351">
        <f t="shared" si="7"/>
        <v>182.10046738072054</v>
      </c>
      <c r="L11" s="351">
        <f t="shared" si="2"/>
        <v>9.1050233690360277E-2</v>
      </c>
      <c r="M11" s="351">
        <f t="shared" si="8"/>
        <v>11.923244888023369</v>
      </c>
      <c r="N11" s="351">
        <f t="shared" si="3"/>
        <v>5.9616224440116848E-3</v>
      </c>
      <c r="O11" s="351">
        <f t="shared" si="9"/>
        <v>4.1189391431353455</v>
      </c>
      <c r="P11" s="351">
        <f t="shared" si="10"/>
        <v>2.0594695715676729E-3</v>
      </c>
      <c r="Q11" s="351">
        <f t="shared" si="11"/>
        <v>4.1189391431353455</v>
      </c>
      <c r="R11" s="351">
        <f t="shared" si="12"/>
        <v>2.0594695715676729E-3</v>
      </c>
      <c r="S11" s="351">
        <f t="shared" si="13"/>
        <v>6.9371606621226878</v>
      </c>
      <c r="T11" s="374">
        <f t="shared" si="14"/>
        <v>3.4685803310613439E-3</v>
      </c>
      <c r="U11" s="242"/>
      <c r="V11" s="241"/>
      <c r="W11" s="243"/>
      <c r="X11" s="244"/>
    </row>
    <row r="12" spans="1:24" ht="15.75" x14ac:dyDescent="0.25">
      <c r="A12" s="1230"/>
      <c r="B12" s="96" t="s">
        <v>504</v>
      </c>
      <c r="C12" s="247" t="s">
        <v>256</v>
      </c>
      <c r="D12" s="352">
        <v>1.34</v>
      </c>
      <c r="E12" s="984">
        <f>E11</f>
        <v>22263.95</v>
      </c>
      <c r="F12" s="351">
        <f t="shared" si="4"/>
        <v>2.1678627069133398</v>
      </c>
      <c r="G12" s="351">
        <f t="shared" si="5"/>
        <v>1.3007176241480038</v>
      </c>
      <c r="H12" s="351">
        <f t="shared" si="0"/>
        <v>6.5035881207400187E-4</v>
      </c>
      <c r="I12" s="351">
        <f t="shared" si="6"/>
        <v>216.78627069133398</v>
      </c>
      <c r="J12" s="351">
        <f t="shared" si="1"/>
        <v>0.108393135345667</v>
      </c>
      <c r="K12" s="351">
        <f t="shared" si="7"/>
        <v>182.10046738072054</v>
      </c>
      <c r="L12" s="351">
        <f t="shared" si="2"/>
        <v>9.1050233690360277E-2</v>
      </c>
      <c r="M12" s="351">
        <f t="shared" si="8"/>
        <v>11.923244888023369</v>
      </c>
      <c r="N12" s="351">
        <f t="shared" si="3"/>
        <v>5.9616224440116848E-3</v>
      </c>
      <c r="O12" s="351">
        <f t="shared" si="9"/>
        <v>4.1189391431353455</v>
      </c>
      <c r="P12" s="351">
        <f t="shared" si="10"/>
        <v>2.0594695715676729E-3</v>
      </c>
      <c r="Q12" s="351">
        <f t="shared" si="11"/>
        <v>4.1189391431353455</v>
      </c>
      <c r="R12" s="351">
        <f t="shared" si="12"/>
        <v>2.0594695715676729E-3</v>
      </c>
      <c r="S12" s="351">
        <f t="shared" si="13"/>
        <v>6.9371606621226878</v>
      </c>
      <c r="T12" s="374">
        <f t="shared" si="14"/>
        <v>3.4685803310613439E-3</v>
      </c>
      <c r="U12" s="242"/>
      <c r="V12" s="241"/>
      <c r="W12" s="243"/>
      <c r="X12" s="244"/>
    </row>
    <row r="13" spans="1:24" ht="15.75" x14ac:dyDescent="0.25">
      <c r="A13" s="1230"/>
      <c r="B13" s="96" t="s">
        <v>257</v>
      </c>
      <c r="C13" s="247" t="s">
        <v>258</v>
      </c>
      <c r="D13" s="352">
        <v>0.39900000000000002</v>
      </c>
      <c r="E13" s="984">
        <f>'Berskhire Gas - RTIC and UMTS'!C2/3</f>
        <v>7692</v>
      </c>
      <c r="F13" s="351">
        <f t="shared" si="4"/>
        <v>0.74897760467380725</v>
      </c>
      <c r="G13" s="351">
        <f t="shared" si="5"/>
        <v>0.44938656280428435</v>
      </c>
      <c r="H13" s="351">
        <f>SUM(G13/2000)</f>
        <v>2.2469328140214219E-4</v>
      </c>
      <c r="I13" s="351">
        <f t="shared" si="6"/>
        <v>74.897760467380721</v>
      </c>
      <c r="J13" s="351">
        <f>SUM(I13/2000)</f>
        <v>3.7448880233690363E-2</v>
      </c>
      <c r="K13" s="351">
        <f t="shared" si="7"/>
        <v>62.914118792599808</v>
      </c>
      <c r="L13" s="351">
        <f>SUM(K13/2000)</f>
        <v>3.1457059396299905E-2</v>
      </c>
      <c r="M13" s="351">
        <f t="shared" si="8"/>
        <v>4.11937682570594</v>
      </c>
      <c r="N13" s="351">
        <f>SUM(M13/2000)</f>
        <v>2.0596884128529702E-3</v>
      </c>
      <c r="O13" s="351">
        <f t="shared" si="9"/>
        <v>1.4230574488802337</v>
      </c>
      <c r="P13" s="351">
        <f t="shared" si="10"/>
        <v>7.1152872444011684E-4</v>
      </c>
      <c r="Q13" s="351">
        <f t="shared" si="11"/>
        <v>1.4230574488802337</v>
      </c>
      <c r="R13" s="351">
        <f t="shared" si="12"/>
        <v>7.1152872444011684E-4</v>
      </c>
      <c r="S13" s="351">
        <f t="shared" si="13"/>
        <v>2.3967283349561832</v>
      </c>
      <c r="T13" s="374">
        <f t="shared" si="14"/>
        <v>1.1983641674780917E-3</v>
      </c>
      <c r="U13" s="242"/>
      <c r="V13" s="241"/>
      <c r="W13" s="243"/>
      <c r="X13" s="244"/>
    </row>
    <row r="14" spans="1:24" ht="15.75" x14ac:dyDescent="0.25">
      <c r="A14" s="1230"/>
      <c r="B14" s="96" t="s">
        <v>259</v>
      </c>
      <c r="C14" s="247" t="s">
        <v>258</v>
      </c>
      <c r="D14" s="352">
        <v>0.39900000000000002</v>
      </c>
      <c r="E14" s="984">
        <f>E13</f>
        <v>7692</v>
      </c>
      <c r="F14" s="351">
        <f t="shared" si="4"/>
        <v>0.74897760467380725</v>
      </c>
      <c r="G14" s="351">
        <f t="shared" si="5"/>
        <v>0.44938656280428435</v>
      </c>
      <c r="H14" s="351">
        <f>SUM(G14/2000)</f>
        <v>2.2469328140214219E-4</v>
      </c>
      <c r="I14" s="351">
        <f t="shared" si="6"/>
        <v>74.897760467380721</v>
      </c>
      <c r="J14" s="351">
        <f>SUM(I14/2000)</f>
        <v>3.7448880233690363E-2</v>
      </c>
      <c r="K14" s="351">
        <f t="shared" si="7"/>
        <v>62.914118792599808</v>
      </c>
      <c r="L14" s="351">
        <f>SUM(K14/2000)</f>
        <v>3.1457059396299905E-2</v>
      </c>
      <c r="M14" s="351">
        <f t="shared" si="8"/>
        <v>4.11937682570594</v>
      </c>
      <c r="N14" s="351">
        <f>SUM(M14/2000)</f>
        <v>2.0596884128529702E-3</v>
      </c>
      <c r="O14" s="351">
        <f t="shared" si="9"/>
        <v>1.4230574488802337</v>
      </c>
      <c r="P14" s="351">
        <f t="shared" si="10"/>
        <v>7.1152872444011684E-4</v>
      </c>
      <c r="Q14" s="351">
        <f t="shared" si="11"/>
        <v>1.4230574488802337</v>
      </c>
      <c r="R14" s="351">
        <f t="shared" si="12"/>
        <v>7.1152872444011684E-4</v>
      </c>
      <c r="S14" s="351">
        <f t="shared" si="13"/>
        <v>2.3967283349561832</v>
      </c>
      <c r="T14" s="374">
        <f t="shared" si="14"/>
        <v>1.1983641674780917E-3</v>
      </c>
      <c r="U14" s="242"/>
      <c r="V14" s="241"/>
      <c r="W14" s="243"/>
      <c r="X14" s="244"/>
    </row>
    <row r="15" spans="1:24" ht="15.75" x14ac:dyDescent="0.25">
      <c r="A15" s="1230"/>
      <c r="B15" s="297" t="s">
        <v>260</v>
      </c>
      <c r="C15" s="247" t="s">
        <v>258</v>
      </c>
      <c r="D15" s="352">
        <v>0.39900000000000002</v>
      </c>
      <c r="E15" s="984">
        <f>E13</f>
        <v>7692</v>
      </c>
      <c r="F15" s="352">
        <f t="shared" si="4"/>
        <v>0.74897760467380725</v>
      </c>
      <c r="G15" s="352">
        <f t="shared" si="5"/>
        <v>0.44938656280428435</v>
      </c>
      <c r="H15" s="352">
        <f>SUM(G15/2000)</f>
        <v>2.2469328140214219E-4</v>
      </c>
      <c r="I15" s="352">
        <f t="shared" si="6"/>
        <v>74.897760467380721</v>
      </c>
      <c r="J15" s="352">
        <f>SUM(I15/2000)</f>
        <v>3.7448880233690363E-2</v>
      </c>
      <c r="K15" s="352">
        <f t="shared" si="7"/>
        <v>62.914118792599808</v>
      </c>
      <c r="L15" s="352">
        <f>SUM(K15/2000)</f>
        <v>3.1457059396299905E-2</v>
      </c>
      <c r="M15" s="352">
        <f t="shared" si="8"/>
        <v>4.11937682570594</v>
      </c>
      <c r="N15" s="352">
        <f>SUM(M15/2000)</f>
        <v>2.0596884128529702E-3</v>
      </c>
      <c r="O15" s="352">
        <f t="shared" si="9"/>
        <v>1.4230574488802337</v>
      </c>
      <c r="P15" s="352">
        <f t="shared" si="10"/>
        <v>7.1152872444011684E-4</v>
      </c>
      <c r="Q15" s="351">
        <f t="shared" si="11"/>
        <v>1.4230574488802337</v>
      </c>
      <c r="R15" s="351">
        <f t="shared" si="12"/>
        <v>7.1152872444011684E-4</v>
      </c>
      <c r="S15" s="351">
        <f t="shared" si="13"/>
        <v>2.3967283349561832</v>
      </c>
      <c r="T15" s="374">
        <f t="shared" si="14"/>
        <v>1.1983641674780917E-3</v>
      </c>
      <c r="U15" s="242"/>
      <c r="V15" s="241"/>
      <c r="W15" s="243"/>
      <c r="X15" s="244"/>
    </row>
    <row r="16" spans="1:24" ht="15.75" x14ac:dyDescent="0.25">
      <c r="A16" s="1230"/>
      <c r="B16" s="297" t="s">
        <v>261</v>
      </c>
      <c r="C16" s="247" t="s">
        <v>262</v>
      </c>
      <c r="D16" s="352">
        <v>0.14000000000000001</v>
      </c>
      <c r="E16" s="984">
        <f>'NG, Diesel and Propane totals'!B41</f>
        <v>1506</v>
      </c>
      <c r="F16" s="352">
        <f t="shared" si="4"/>
        <v>0.14664070107108082</v>
      </c>
      <c r="G16" s="352">
        <f t="shared" si="5"/>
        <v>8.7984420642648484E-2</v>
      </c>
      <c r="H16" s="352">
        <f t="shared" si="0"/>
        <v>4.3992210321324242E-5</v>
      </c>
      <c r="I16" s="352">
        <f>SUM(F16*$I$40)</f>
        <v>13.784225900681598</v>
      </c>
      <c r="J16" s="352">
        <f t="shared" si="1"/>
        <v>6.8921129503407988E-3</v>
      </c>
      <c r="K16" s="352">
        <f>SUM(F16*$K$40)</f>
        <v>5.865628042843233</v>
      </c>
      <c r="L16" s="352">
        <f t="shared" si="2"/>
        <v>2.9328140214216164E-3</v>
      </c>
      <c r="M16" s="352">
        <f t="shared" si="8"/>
        <v>0.80652385589094455</v>
      </c>
      <c r="N16" s="352">
        <f t="shared" si="3"/>
        <v>4.0326192794547228E-4</v>
      </c>
      <c r="O16" s="352">
        <f t="shared" si="9"/>
        <v>0.27861733203505357</v>
      </c>
      <c r="P16" s="352">
        <f t="shared" si="10"/>
        <v>1.3930866601752679E-4</v>
      </c>
      <c r="Q16" s="351">
        <f t="shared" si="11"/>
        <v>0.27861733203505357</v>
      </c>
      <c r="R16" s="351">
        <f t="shared" si="12"/>
        <v>1.3930866601752679E-4</v>
      </c>
      <c r="S16" s="351">
        <f t="shared" si="13"/>
        <v>0.46925024342745864</v>
      </c>
      <c r="T16" s="374">
        <f t="shared" si="14"/>
        <v>2.3462512171372932E-4</v>
      </c>
      <c r="U16" s="242"/>
      <c r="V16" s="241"/>
      <c r="W16" s="243"/>
      <c r="X16" s="244"/>
    </row>
    <row r="17" spans="1:24" ht="15" customHeight="1" thickBot="1" x14ac:dyDescent="0.3">
      <c r="A17" s="1230"/>
      <c r="B17" s="96" t="s">
        <v>263</v>
      </c>
      <c r="C17" s="22"/>
      <c r="D17" s="351">
        <v>0.2</v>
      </c>
      <c r="E17" s="983">
        <f>'Berskhire Gas - RTIC and UMTS'!H2</f>
        <v>4665</v>
      </c>
      <c r="F17" s="352">
        <f t="shared" si="4"/>
        <v>0.45423563777994158</v>
      </c>
      <c r="G17" s="351">
        <f>SUM(F17*$G$40)</f>
        <v>0.27254138266796496</v>
      </c>
      <c r="H17" s="351">
        <f t="shared" si="0"/>
        <v>1.3627069133398249E-4</v>
      </c>
      <c r="I17" s="351">
        <f>SUM(F17*$I$40)</f>
        <v>42.698149951314505</v>
      </c>
      <c r="J17" s="351">
        <f t="shared" si="1"/>
        <v>2.1349074975657252E-2</v>
      </c>
      <c r="K17" s="351">
        <f>SUM(F17*$K$40)</f>
        <v>18.169425511197662</v>
      </c>
      <c r="L17" s="351">
        <f t="shared" si="2"/>
        <v>9.0847127555988318E-3</v>
      </c>
      <c r="M17" s="351">
        <f>SUM(F17*$M$40)</f>
        <v>2.4982960077896785</v>
      </c>
      <c r="N17" s="351">
        <f t="shared" si="3"/>
        <v>1.2491480038948394E-3</v>
      </c>
      <c r="O17" s="351">
        <f>SUM(F17*$O$40)</f>
        <v>0.86304771178188899</v>
      </c>
      <c r="P17" s="351">
        <f t="shared" si="10"/>
        <v>4.315238558909445E-4</v>
      </c>
      <c r="Q17" s="351">
        <f t="shared" si="11"/>
        <v>0.86304771178188899</v>
      </c>
      <c r="R17" s="351">
        <f t="shared" si="12"/>
        <v>4.315238558909445E-4</v>
      </c>
      <c r="S17" s="351">
        <f>SUM(F17*$S$40)</f>
        <v>1.4535540408958132</v>
      </c>
      <c r="T17" s="374">
        <f t="shared" si="14"/>
        <v>7.2677702044790656E-4</v>
      </c>
      <c r="U17" s="242"/>
      <c r="V17" s="241"/>
      <c r="W17" s="243"/>
      <c r="X17" s="244"/>
    </row>
    <row r="18" spans="1:24" ht="16.5" thickBot="1" x14ac:dyDescent="0.3">
      <c r="B18" s="658" t="s">
        <v>854</v>
      </c>
      <c r="C18" s="305"/>
      <c r="D18" s="432">
        <f t="shared" ref="D18:T18" si="15">SUM(D10:D17)</f>
        <v>6.3170000000000002</v>
      </c>
      <c r="E18" s="985">
        <f t="shared" si="15"/>
        <v>91119.166666666672</v>
      </c>
      <c r="F18" s="506">
        <f t="shared" si="15"/>
        <v>8.8723628691983105</v>
      </c>
      <c r="G18" s="432">
        <f t="shared" si="15"/>
        <v>5.3234177215189886</v>
      </c>
      <c r="H18" s="432">
        <f t="shared" si="15"/>
        <v>2.6617088607594941E-3</v>
      </c>
      <c r="I18" s="432">
        <f t="shared" si="15"/>
        <v>883.63102888672506</v>
      </c>
      <c r="J18" s="432">
        <f t="shared" si="15"/>
        <v>0.44181551444336259</v>
      </c>
      <c r="K18" s="432">
        <f t="shared" si="15"/>
        <v>718.83992210321321</v>
      </c>
      <c r="L18" s="432">
        <f t="shared" si="15"/>
        <v>0.35941996105160656</v>
      </c>
      <c r="M18" s="432">
        <f t="shared" si="15"/>
        <v>48.797995780590725</v>
      </c>
      <c r="N18" s="432">
        <f t="shared" si="15"/>
        <v>2.439899789029536E-2</v>
      </c>
      <c r="O18" s="432">
        <f t="shared" si="15"/>
        <v>16.857489451476795</v>
      </c>
      <c r="P18" s="432">
        <f t="shared" si="15"/>
        <v>8.4287447257383966E-3</v>
      </c>
      <c r="Q18" s="432">
        <f t="shared" si="15"/>
        <v>16.857489451476795</v>
      </c>
      <c r="R18" s="432">
        <f t="shared" si="15"/>
        <v>8.4287447257383966E-3</v>
      </c>
      <c r="S18" s="432">
        <f t="shared" si="15"/>
        <v>28.391561181434604</v>
      </c>
      <c r="T18" s="433">
        <f t="shared" si="15"/>
        <v>1.41957805907173E-2</v>
      </c>
      <c r="U18" s="242"/>
      <c r="V18" s="241"/>
      <c r="X18" s="245"/>
    </row>
    <row r="21" spans="1:24" ht="15.75" thickBot="1" x14ac:dyDescent="0.3"/>
    <row r="22" spans="1:24" ht="15.75" thickBot="1" x14ac:dyDescent="0.3">
      <c r="B22" s="1258" t="s">
        <v>510</v>
      </c>
      <c r="C22" s="1259"/>
      <c r="D22" s="1259"/>
      <c r="E22" s="1259"/>
      <c r="F22" s="1259"/>
      <c r="G22" s="1259"/>
      <c r="H22" s="1259"/>
      <c r="I22" s="1259"/>
      <c r="J22" s="1259"/>
      <c r="K22" s="1259"/>
      <c r="L22" s="1259"/>
      <c r="M22" s="1259"/>
      <c r="N22" s="1259"/>
      <c r="O22" s="1259"/>
      <c r="P22" s="1259"/>
      <c r="Q22" s="1259"/>
      <c r="R22" s="1259"/>
      <c r="S22" s="1259"/>
      <c r="T22" s="1260"/>
    </row>
    <row r="23" spans="1:24" x14ac:dyDescent="0.25">
      <c r="B23" s="284"/>
      <c r="C23" s="285"/>
      <c r="D23" s="434"/>
      <c r="E23" s="425"/>
      <c r="F23" s="426"/>
      <c r="G23" s="1261" t="s">
        <v>218</v>
      </c>
      <c r="H23" s="1262"/>
      <c r="I23" s="1263" t="s">
        <v>12</v>
      </c>
      <c r="J23" s="1263" t="s">
        <v>7</v>
      </c>
      <c r="K23" s="1263" t="s">
        <v>1</v>
      </c>
      <c r="L23" s="1263" t="s">
        <v>7</v>
      </c>
      <c r="M23" s="1263" t="s">
        <v>2</v>
      </c>
      <c r="N23" s="1263" t="s">
        <v>7</v>
      </c>
      <c r="O23" s="1263" t="s">
        <v>573</v>
      </c>
      <c r="P23" s="1263" t="s">
        <v>7</v>
      </c>
      <c r="Q23" s="1263" t="s">
        <v>61</v>
      </c>
      <c r="R23" s="1263"/>
      <c r="S23" s="1263" t="s">
        <v>102</v>
      </c>
      <c r="T23" s="1265"/>
    </row>
    <row r="24" spans="1:24" ht="26.25" x14ac:dyDescent="0.25">
      <c r="B24" s="354" t="s">
        <v>250</v>
      </c>
      <c r="C24" s="288" t="s">
        <v>252</v>
      </c>
      <c r="D24" s="427" t="s">
        <v>507</v>
      </c>
      <c r="E24" s="427"/>
      <c r="F24" s="427" t="s">
        <v>509</v>
      </c>
      <c r="G24" s="428" t="s">
        <v>253</v>
      </c>
      <c r="H24" s="428" t="s">
        <v>254</v>
      </c>
      <c r="I24" s="428" t="s">
        <v>253</v>
      </c>
      <c r="J24" s="428" t="s">
        <v>254</v>
      </c>
      <c r="K24" s="428" t="s">
        <v>253</v>
      </c>
      <c r="L24" s="428" t="s">
        <v>254</v>
      </c>
      <c r="M24" s="428" t="s">
        <v>253</v>
      </c>
      <c r="N24" s="428" t="s">
        <v>254</v>
      </c>
      <c r="O24" s="428" t="s">
        <v>253</v>
      </c>
      <c r="P24" s="428" t="s">
        <v>254</v>
      </c>
      <c r="Q24" s="428" t="s">
        <v>253</v>
      </c>
      <c r="R24" s="428" t="s">
        <v>254</v>
      </c>
      <c r="S24" s="428" t="s">
        <v>253</v>
      </c>
      <c r="T24" s="429" t="s">
        <v>254</v>
      </c>
    </row>
    <row r="25" spans="1:24" x14ac:dyDescent="0.25">
      <c r="B25" s="96"/>
      <c r="C25" s="22"/>
      <c r="D25" s="430"/>
      <c r="E25" s="430"/>
      <c r="F25" s="430"/>
      <c r="G25" s="430"/>
      <c r="H25" s="430"/>
      <c r="I25" s="430"/>
      <c r="J25" s="430"/>
      <c r="K25" s="430"/>
      <c r="L25" s="430"/>
      <c r="M25" s="430"/>
      <c r="N25" s="430"/>
      <c r="O25" s="430"/>
      <c r="P25" s="430"/>
      <c r="Q25" s="430"/>
      <c r="R25" s="430"/>
      <c r="S25" s="430"/>
      <c r="T25" s="431"/>
    </row>
    <row r="26" spans="1:24" s="9" customFormat="1" x14ac:dyDescent="0.25">
      <c r="B26" s="355" t="s">
        <v>853</v>
      </c>
      <c r="C26" s="356" t="s">
        <v>256</v>
      </c>
      <c r="D26" s="659">
        <v>4.2</v>
      </c>
      <c r="E26" s="659"/>
      <c r="F26" s="659">
        <f>D26*8760/1023</f>
        <v>35.964809384164219</v>
      </c>
      <c r="G26" s="659">
        <f>SUM(F26*$G$39)</f>
        <v>21.578885630498529</v>
      </c>
      <c r="H26" s="659">
        <f>SUM(G26/2000)</f>
        <v>1.0789442815249265E-2</v>
      </c>
      <c r="I26" s="659">
        <f>SUM(F26*$I$39)</f>
        <v>3596.4809384164218</v>
      </c>
      <c r="J26" s="659">
        <f>SUM(I26/2000)</f>
        <v>1.798240469208211</v>
      </c>
      <c r="K26" s="659">
        <f>SUM(F26*$K$39)</f>
        <v>3021.0439882697942</v>
      </c>
      <c r="L26" s="659">
        <f>SUM(K26/2000)</f>
        <v>1.5105219941348971</v>
      </c>
      <c r="M26" s="659">
        <f>SUM(F26*$M$39)</f>
        <v>197.8064516129032</v>
      </c>
      <c r="N26" s="659">
        <f>SUM(M26/2000)</f>
        <v>9.8903225806451597E-2</v>
      </c>
      <c r="O26" s="659">
        <f>SUM(F26*$O$39)</f>
        <v>68.333137829912019</v>
      </c>
      <c r="P26" s="659">
        <f>SUM(O26/2000)</f>
        <v>3.4166568914956008E-2</v>
      </c>
      <c r="Q26" s="659">
        <f>SUM(F26*$Q$39)</f>
        <v>68.333137829912019</v>
      </c>
      <c r="R26" s="659">
        <f>SUM($Q$26/2000)</f>
        <v>3.4166568914956008E-2</v>
      </c>
      <c r="S26" s="659">
        <f>SUM(F26*$S$39)</f>
        <v>115.0873900293255</v>
      </c>
      <c r="T26" s="660">
        <f>SUM(S26/2000)</f>
        <v>5.7543695014662749E-2</v>
      </c>
    </row>
    <row r="27" spans="1:24" x14ac:dyDescent="0.25">
      <c r="B27" s="96"/>
      <c r="C27" s="22"/>
      <c r="D27" s="430"/>
      <c r="E27" s="430"/>
      <c r="F27" s="430"/>
      <c r="G27" s="430"/>
      <c r="H27" s="430"/>
      <c r="I27" s="430"/>
      <c r="J27" s="430"/>
      <c r="K27" s="430"/>
      <c r="L27" s="430"/>
      <c r="M27" s="430"/>
      <c r="N27" s="430"/>
      <c r="O27" s="430"/>
      <c r="P27" s="430"/>
      <c r="Q27" s="430"/>
      <c r="R27" s="430"/>
      <c r="S27" s="430"/>
      <c r="T27" s="431"/>
    </row>
    <row r="28" spans="1:24" x14ac:dyDescent="0.25">
      <c r="B28" s="96" t="s">
        <v>255</v>
      </c>
      <c r="C28" s="22" t="s">
        <v>256</v>
      </c>
      <c r="D28" s="430">
        <v>2.1</v>
      </c>
      <c r="E28" s="430"/>
      <c r="F28" s="430">
        <f t="shared" ref="F28:F35" si="16">D28*8760/1023</f>
        <v>17.98240469208211</v>
      </c>
      <c r="G28" s="430">
        <f t="shared" ref="G28:G34" si="17">SUM(F28*$G$39)</f>
        <v>10.789442815249265</v>
      </c>
      <c r="H28" s="430">
        <f t="shared" ref="H28:H35" si="18">SUM(G28/2000)</f>
        <v>5.3947214076246327E-3</v>
      </c>
      <c r="I28" s="430">
        <f t="shared" ref="I28:I33" si="19">SUM(F28*$I$39)</f>
        <v>1798.2404692082109</v>
      </c>
      <c r="J28" s="430">
        <f t="shared" ref="J28:J35" si="20">SUM(I28/2000)</f>
        <v>0.89912023460410551</v>
      </c>
      <c r="K28" s="430">
        <f t="shared" ref="K28:K33" si="21">SUM(F28*$K$39)</f>
        <v>1510.5219941348971</v>
      </c>
      <c r="L28" s="430">
        <f t="shared" ref="L28:L35" si="22">SUM(K28/2000)</f>
        <v>0.75526099706744854</v>
      </c>
      <c r="M28" s="430">
        <f t="shared" ref="M28:M34" si="23">SUM(F28*$M$39)</f>
        <v>98.903225806451601</v>
      </c>
      <c r="N28" s="430">
        <f t="shared" ref="N28:N35" si="24">SUM(M28/2000)</f>
        <v>4.9451612903225799E-2</v>
      </c>
      <c r="O28" s="430">
        <f t="shared" ref="O28:O34" si="25">SUM(F28*$O$39)</f>
        <v>34.166568914956009</v>
      </c>
      <c r="P28" s="430">
        <f t="shared" ref="P28:P35" si="26">SUM(O28/2000)</f>
        <v>1.7083284457478004E-2</v>
      </c>
      <c r="Q28" s="430">
        <f t="shared" ref="Q28:Q35" si="27">SUM(F28*$Q$39)</f>
        <v>34.166568914956009</v>
      </c>
      <c r="R28" s="430">
        <f t="shared" ref="R28:R35" si="28">SUM(Q28/2000)</f>
        <v>1.7083284457478004E-2</v>
      </c>
      <c r="S28" s="430">
        <f t="shared" ref="S28:S35" si="29">SUM(F28*$S$39)</f>
        <v>57.543695014662752</v>
      </c>
      <c r="T28" s="431">
        <f t="shared" ref="T28:T35" si="30">SUM(S28/2000)</f>
        <v>2.8771847507331375E-2</v>
      </c>
    </row>
    <row r="29" spans="1:24" x14ac:dyDescent="0.25">
      <c r="B29" s="297" t="s">
        <v>504</v>
      </c>
      <c r="C29" s="247" t="s">
        <v>256</v>
      </c>
      <c r="D29" s="435">
        <v>1.34</v>
      </c>
      <c r="E29" s="430"/>
      <c r="F29" s="430">
        <f t="shared" si="16"/>
        <v>11.474486803519063</v>
      </c>
      <c r="G29" s="430">
        <f t="shared" si="17"/>
        <v>6.8846920821114379</v>
      </c>
      <c r="H29" s="430">
        <f t="shared" si="18"/>
        <v>3.4423460410557189E-3</v>
      </c>
      <c r="I29" s="430">
        <f t="shared" si="19"/>
        <v>1147.4486803519064</v>
      </c>
      <c r="J29" s="430">
        <f t="shared" si="20"/>
        <v>0.5737243401759532</v>
      </c>
      <c r="K29" s="430">
        <f t="shared" si="21"/>
        <v>963.8568914956013</v>
      </c>
      <c r="L29" s="430">
        <f t="shared" si="22"/>
        <v>0.48192844574780064</v>
      </c>
      <c r="M29" s="430">
        <f t="shared" si="23"/>
        <v>63.109677419354853</v>
      </c>
      <c r="N29" s="430">
        <f t="shared" si="24"/>
        <v>3.155483870967743E-2</v>
      </c>
      <c r="O29" s="430">
        <f t="shared" si="25"/>
        <v>21.80152492668622</v>
      </c>
      <c r="P29" s="430">
        <f t="shared" si="26"/>
        <v>1.090076246334311E-2</v>
      </c>
      <c r="Q29" s="430">
        <f t="shared" si="27"/>
        <v>21.80152492668622</v>
      </c>
      <c r="R29" s="430">
        <f t="shared" si="28"/>
        <v>1.090076246334311E-2</v>
      </c>
      <c r="S29" s="430">
        <f t="shared" si="29"/>
        <v>36.718357771261005</v>
      </c>
      <c r="T29" s="431">
        <f t="shared" si="30"/>
        <v>1.8359178885630503E-2</v>
      </c>
    </row>
    <row r="30" spans="1:24" x14ac:dyDescent="0.25">
      <c r="B30" s="96" t="s">
        <v>504</v>
      </c>
      <c r="C30" s="247" t="s">
        <v>256</v>
      </c>
      <c r="D30" s="435">
        <v>1.34</v>
      </c>
      <c r="E30" s="430"/>
      <c r="F30" s="430">
        <f t="shared" si="16"/>
        <v>11.474486803519063</v>
      </c>
      <c r="G30" s="430">
        <f t="shared" si="17"/>
        <v>6.8846920821114379</v>
      </c>
      <c r="H30" s="430">
        <f t="shared" si="18"/>
        <v>3.4423460410557189E-3</v>
      </c>
      <c r="I30" s="430">
        <f t="shared" si="19"/>
        <v>1147.4486803519064</v>
      </c>
      <c r="J30" s="430">
        <f t="shared" si="20"/>
        <v>0.5737243401759532</v>
      </c>
      <c r="K30" s="430">
        <f t="shared" si="21"/>
        <v>963.8568914956013</v>
      </c>
      <c r="L30" s="430">
        <f t="shared" si="22"/>
        <v>0.48192844574780064</v>
      </c>
      <c r="M30" s="430">
        <f t="shared" si="23"/>
        <v>63.109677419354853</v>
      </c>
      <c r="N30" s="430">
        <f t="shared" si="24"/>
        <v>3.155483870967743E-2</v>
      </c>
      <c r="O30" s="430">
        <f t="shared" si="25"/>
        <v>21.80152492668622</v>
      </c>
      <c r="P30" s="430">
        <f t="shared" si="26"/>
        <v>1.090076246334311E-2</v>
      </c>
      <c r="Q30" s="430">
        <f t="shared" si="27"/>
        <v>21.80152492668622</v>
      </c>
      <c r="R30" s="430">
        <f t="shared" si="28"/>
        <v>1.090076246334311E-2</v>
      </c>
      <c r="S30" s="430">
        <f t="shared" si="29"/>
        <v>36.718357771261005</v>
      </c>
      <c r="T30" s="431">
        <f t="shared" si="30"/>
        <v>1.8359178885630503E-2</v>
      </c>
    </row>
    <row r="31" spans="1:24" x14ac:dyDescent="0.25">
      <c r="B31" s="96" t="s">
        <v>257</v>
      </c>
      <c r="C31" s="247" t="s">
        <v>258</v>
      </c>
      <c r="D31" s="435">
        <v>0.39900000000000002</v>
      </c>
      <c r="E31" s="430"/>
      <c r="F31" s="430">
        <f t="shared" si="16"/>
        <v>3.4166568914956015</v>
      </c>
      <c r="G31" s="430">
        <f t="shared" si="17"/>
        <v>2.0499941348973607</v>
      </c>
      <c r="H31" s="430">
        <f t="shared" si="18"/>
        <v>1.0249970674486803E-3</v>
      </c>
      <c r="I31" s="430">
        <f t="shared" si="19"/>
        <v>341.66568914956014</v>
      </c>
      <c r="J31" s="430">
        <f t="shared" si="20"/>
        <v>0.17083284457478007</v>
      </c>
      <c r="K31" s="430">
        <f t="shared" si="21"/>
        <v>286.9991788856305</v>
      </c>
      <c r="L31" s="430">
        <f t="shared" si="22"/>
        <v>0.14349958944281524</v>
      </c>
      <c r="M31" s="430">
        <f t="shared" si="23"/>
        <v>18.791612903225808</v>
      </c>
      <c r="N31" s="430">
        <f t="shared" si="24"/>
        <v>9.3958064516129047E-3</v>
      </c>
      <c r="O31" s="430">
        <f t="shared" si="25"/>
        <v>6.4916480938416425</v>
      </c>
      <c r="P31" s="430">
        <f t="shared" si="26"/>
        <v>3.2458240469208214E-3</v>
      </c>
      <c r="Q31" s="430">
        <f t="shared" si="27"/>
        <v>6.4916480938416425</v>
      </c>
      <c r="R31" s="430">
        <f t="shared" si="28"/>
        <v>3.2458240469208214E-3</v>
      </c>
      <c r="S31" s="430">
        <f t="shared" si="29"/>
        <v>10.933302052785926</v>
      </c>
      <c r="T31" s="431">
        <f t="shared" si="30"/>
        <v>5.4666510263929628E-3</v>
      </c>
    </row>
    <row r="32" spans="1:24" x14ac:dyDescent="0.25">
      <c r="B32" s="96" t="s">
        <v>259</v>
      </c>
      <c r="C32" s="247" t="s">
        <v>258</v>
      </c>
      <c r="D32" s="435">
        <v>0.39900000000000002</v>
      </c>
      <c r="E32" s="430"/>
      <c r="F32" s="430">
        <f t="shared" si="16"/>
        <v>3.4166568914956015</v>
      </c>
      <c r="G32" s="430">
        <f t="shared" si="17"/>
        <v>2.0499941348973607</v>
      </c>
      <c r="H32" s="430">
        <f t="shared" si="18"/>
        <v>1.0249970674486803E-3</v>
      </c>
      <c r="I32" s="430">
        <f t="shared" si="19"/>
        <v>341.66568914956014</v>
      </c>
      <c r="J32" s="430">
        <f t="shared" si="20"/>
        <v>0.17083284457478007</v>
      </c>
      <c r="K32" s="430">
        <f t="shared" si="21"/>
        <v>286.9991788856305</v>
      </c>
      <c r="L32" s="430">
        <f t="shared" si="22"/>
        <v>0.14349958944281524</v>
      </c>
      <c r="M32" s="430">
        <f t="shared" si="23"/>
        <v>18.791612903225808</v>
      </c>
      <c r="N32" s="430">
        <f t="shared" si="24"/>
        <v>9.3958064516129047E-3</v>
      </c>
      <c r="O32" s="430">
        <f t="shared" si="25"/>
        <v>6.4916480938416425</v>
      </c>
      <c r="P32" s="430">
        <f t="shared" si="26"/>
        <v>3.2458240469208214E-3</v>
      </c>
      <c r="Q32" s="430">
        <f t="shared" si="27"/>
        <v>6.4916480938416425</v>
      </c>
      <c r="R32" s="430">
        <f t="shared" si="28"/>
        <v>3.2458240469208214E-3</v>
      </c>
      <c r="S32" s="430">
        <f t="shared" si="29"/>
        <v>10.933302052785926</v>
      </c>
      <c r="T32" s="431">
        <f t="shared" si="30"/>
        <v>5.4666510263929628E-3</v>
      </c>
    </row>
    <row r="33" spans="2:20" x14ac:dyDescent="0.25">
      <c r="B33" s="297" t="s">
        <v>260</v>
      </c>
      <c r="C33" s="247" t="s">
        <v>258</v>
      </c>
      <c r="D33" s="435">
        <v>0.39900000000000002</v>
      </c>
      <c r="E33" s="430"/>
      <c r="F33" s="430">
        <f t="shared" si="16"/>
        <v>3.4166568914956015</v>
      </c>
      <c r="G33" s="435">
        <f t="shared" si="17"/>
        <v>2.0499941348973607</v>
      </c>
      <c r="H33" s="435">
        <f t="shared" si="18"/>
        <v>1.0249970674486803E-3</v>
      </c>
      <c r="I33" s="435">
        <f t="shared" si="19"/>
        <v>341.66568914956014</v>
      </c>
      <c r="J33" s="435">
        <f t="shared" si="20"/>
        <v>0.17083284457478007</v>
      </c>
      <c r="K33" s="435">
        <f t="shared" si="21"/>
        <v>286.9991788856305</v>
      </c>
      <c r="L33" s="435">
        <f t="shared" si="22"/>
        <v>0.14349958944281524</v>
      </c>
      <c r="M33" s="435">
        <f t="shared" si="23"/>
        <v>18.791612903225808</v>
      </c>
      <c r="N33" s="435">
        <f t="shared" si="24"/>
        <v>9.3958064516129047E-3</v>
      </c>
      <c r="O33" s="435">
        <f t="shared" si="25"/>
        <v>6.4916480938416425</v>
      </c>
      <c r="P33" s="435">
        <f t="shared" si="26"/>
        <v>3.2458240469208214E-3</v>
      </c>
      <c r="Q33" s="430">
        <f t="shared" si="27"/>
        <v>6.4916480938416425</v>
      </c>
      <c r="R33" s="430">
        <f t="shared" si="28"/>
        <v>3.2458240469208214E-3</v>
      </c>
      <c r="S33" s="430">
        <f t="shared" si="29"/>
        <v>10.933302052785926</v>
      </c>
      <c r="T33" s="431">
        <f t="shared" si="30"/>
        <v>5.4666510263929628E-3</v>
      </c>
    </row>
    <row r="34" spans="2:20" x14ac:dyDescent="0.25">
      <c r="B34" s="297" t="s">
        <v>261</v>
      </c>
      <c r="C34" s="247" t="s">
        <v>262</v>
      </c>
      <c r="D34" s="435">
        <v>0.14000000000000001</v>
      </c>
      <c r="E34" s="430"/>
      <c r="F34" s="430">
        <f t="shared" si="16"/>
        <v>1.1988269794721409</v>
      </c>
      <c r="G34" s="435">
        <f t="shared" si="17"/>
        <v>0.71929618768328452</v>
      </c>
      <c r="H34" s="435">
        <f t="shared" si="18"/>
        <v>3.5964809384164226E-4</v>
      </c>
      <c r="I34" s="435">
        <f>SUM(F34*$I$40)</f>
        <v>112.68973607038124</v>
      </c>
      <c r="J34" s="435">
        <f t="shared" si="20"/>
        <v>5.6344868035190621E-2</v>
      </c>
      <c r="K34" s="435">
        <f>SUM(F34*$K$40)</f>
        <v>47.953079178885638</v>
      </c>
      <c r="L34" s="435">
        <f t="shared" si="22"/>
        <v>2.3976539589442819E-2</v>
      </c>
      <c r="M34" s="435">
        <f t="shared" si="23"/>
        <v>6.5935483870967753</v>
      </c>
      <c r="N34" s="435">
        <f t="shared" si="24"/>
        <v>3.2967741935483875E-3</v>
      </c>
      <c r="O34" s="435">
        <f t="shared" si="25"/>
        <v>2.2777712609970675</v>
      </c>
      <c r="P34" s="435">
        <f t="shared" si="26"/>
        <v>1.1388856304985337E-3</v>
      </c>
      <c r="Q34" s="430">
        <f t="shared" si="27"/>
        <v>2.2777712609970675</v>
      </c>
      <c r="R34" s="430">
        <f t="shared" si="28"/>
        <v>1.1388856304985337E-3</v>
      </c>
      <c r="S34" s="430">
        <f t="shared" si="29"/>
        <v>3.836246334310851</v>
      </c>
      <c r="T34" s="431">
        <f t="shared" si="30"/>
        <v>1.9181231671554254E-3</v>
      </c>
    </row>
    <row r="35" spans="2:20" ht="15.75" thickBot="1" x14ac:dyDescent="0.3">
      <c r="B35" s="96" t="s">
        <v>263</v>
      </c>
      <c r="C35" s="22"/>
      <c r="D35" s="430">
        <v>0.2</v>
      </c>
      <c r="E35" s="430"/>
      <c r="F35" s="430">
        <f t="shared" si="16"/>
        <v>1.7126099706744868</v>
      </c>
      <c r="G35" s="430">
        <f>SUM(F35*$G$40)</f>
        <v>1.0275659824046921</v>
      </c>
      <c r="H35" s="430">
        <f t="shared" si="18"/>
        <v>5.1378299120234607E-4</v>
      </c>
      <c r="I35" s="430">
        <f>SUM(F35*$I$40)</f>
        <v>160.98533724340177</v>
      </c>
      <c r="J35" s="430">
        <f t="shared" si="20"/>
        <v>8.0492668621700889E-2</v>
      </c>
      <c r="K35" s="430">
        <f>SUM(F35*$K$40)</f>
        <v>68.504398826979468</v>
      </c>
      <c r="L35" s="430">
        <f t="shared" si="22"/>
        <v>3.4252199413489733E-2</v>
      </c>
      <c r="M35" s="430">
        <f>SUM(F35*$M$40)</f>
        <v>9.4193548387096779</v>
      </c>
      <c r="N35" s="430">
        <f t="shared" si="24"/>
        <v>4.7096774193548388E-3</v>
      </c>
      <c r="O35" s="430">
        <f>SUM(F35*$O$40)</f>
        <v>3.2539589442815249</v>
      </c>
      <c r="P35" s="430">
        <f t="shared" si="26"/>
        <v>1.6269794721407624E-3</v>
      </c>
      <c r="Q35" s="430">
        <f t="shared" si="27"/>
        <v>3.2539589442815249</v>
      </c>
      <c r="R35" s="430">
        <f t="shared" si="28"/>
        <v>1.6269794721407624E-3</v>
      </c>
      <c r="S35" s="430">
        <f t="shared" si="29"/>
        <v>5.4803519061583579</v>
      </c>
      <c r="T35" s="431">
        <f t="shared" si="30"/>
        <v>2.740175953079179E-3</v>
      </c>
    </row>
    <row r="36" spans="2:20" ht="15.75" thickBot="1" x14ac:dyDescent="0.3">
      <c r="B36" s="658" t="s">
        <v>852</v>
      </c>
      <c r="C36" s="305"/>
      <c r="D36" s="436">
        <f>SUM(D28:D35)</f>
        <v>6.3170000000000002</v>
      </c>
      <c r="E36" s="436"/>
      <c r="F36" s="436">
        <f>SUM(F28:F35)</f>
        <v>54.092785923753659</v>
      </c>
      <c r="G36" s="436">
        <f t="shared" ref="G36:T36" si="31">SUM(G28:G35)</f>
        <v>32.455671554252199</v>
      </c>
      <c r="H36" s="436">
        <f t="shared" si="31"/>
        <v>1.6227835777126099E-2</v>
      </c>
      <c r="I36" s="436">
        <f t="shared" si="31"/>
        <v>5391.8099706744888</v>
      </c>
      <c r="J36" s="436">
        <f t="shared" si="31"/>
        <v>2.6959049853372439</v>
      </c>
      <c r="K36" s="436">
        <f t="shared" si="31"/>
        <v>4415.6907917888566</v>
      </c>
      <c r="L36" s="436">
        <f t="shared" si="31"/>
        <v>2.2078453958944277</v>
      </c>
      <c r="M36" s="436">
        <f t="shared" si="31"/>
        <v>297.51032258064521</v>
      </c>
      <c r="N36" s="436">
        <f t="shared" si="31"/>
        <v>0.1487551612903226</v>
      </c>
      <c r="O36" s="436">
        <f t="shared" si="31"/>
        <v>102.77629325513199</v>
      </c>
      <c r="P36" s="436">
        <f t="shared" si="31"/>
        <v>5.1388146627565988E-2</v>
      </c>
      <c r="Q36" s="436">
        <f t="shared" si="31"/>
        <v>102.77629325513199</v>
      </c>
      <c r="R36" s="436">
        <f t="shared" si="31"/>
        <v>5.1388146627565988E-2</v>
      </c>
      <c r="S36" s="436">
        <f t="shared" si="31"/>
        <v>173.09691495601177</v>
      </c>
      <c r="T36" s="437">
        <f t="shared" si="31"/>
        <v>8.6548457478005866E-2</v>
      </c>
    </row>
    <row r="38" spans="2:20" ht="27" customHeight="1" x14ac:dyDescent="0.25">
      <c r="B38" s="1256"/>
      <c r="C38" s="1257"/>
    </row>
    <row r="39" spans="2:20" ht="20.25" customHeight="1" x14ac:dyDescent="0.25">
      <c r="B39" t="s">
        <v>264</v>
      </c>
      <c r="D39" s="7" t="s">
        <v>62</v>
      </c>
      <c r="G39" s="438">
        <v>0.6</v>
      </c>
      <c r="I39" s="7">
        <v>100</v>
      </c>
      <c r="K39" s="7">
        <v>84</v>
      </c>
      <c r="M39" s="7">
        <v>5.5</v>
      </c>
      <c r="O39" s="7">
        <v>1.9</v>
      </c>
      <c r="Q39" s="7">
        <v>1.9</v>
      </c>
      <c r="S39" s="7">
        <v>3.2</v>
      </c>
    </row>
    <row r="40" spans="2:20" ht="14.25" customHeight="1" x14ac:dyDescent="0.25">
      <c r="B40" s="1256" t="s">
        <v>265</v>
      </c>
      <c r="C40" s="1256"/>
      <c r="D40" s="7" t="s">
        <v>62</v>
      </c>
      <c r="G40" s="7">
        <v>0.6</v>
      </c>
      <c r="I40" s="7">
        <v>94</v>
      </c>
      <c r="K40" s="7">
        <v>40</v>
      </c>
      <c r="M40" s="7">
        <v>5.5</v>
      </c>
      <c r="O40" s="7">
        <v>1.9</v>
      </c>
      <c r="Q40" s="7">
        <v>1.9</v>
      </c>
      <c r="S40" s="7">
        <v>3.2</v>
      </c>
    </row>
    <row r="42" spans="2:20" x14ac:dyDescent="0.25">
      <c r="B42" t="s">
        <v>266</v>
      </c>
      <c r="D42" s="7">
        <f>SUM(M18+I18)/365</f>
        <v>2.5546000675816871</v>
      </c>
      <c r="F42" s="7" t="s">
        <v>267</v>
      </c>
    </row>
  </sheetData>
  <mergeCells count="21">
    <mergeCell ref="B1:T1"/>
    <mergeCell ref="B2:T2"/>
    <mergeCell ref="O5:P5"/>
    <mergeCell ref="K23:L23"/>
    <mergeCell ref="S5:T5"/>
    <mergeCell ref="Q5:R5"/>
    <mergeCell ref="B4:T4"/>
    <mergeCell ref="Q23:R23"/>
    <mergeCell ref="G5:H5"/>
    <mergeCell ref="S23:T23"/>
    <mergeCell ref="A10:A17"/>
    <mergeCell ref="M23:N23"/>
    <mergeCell ref="I5:J5"/>
    <mergeCell ref="M5:N5"/>
    <mergeCell ref="O23:P23"/>
    <mergeCell ref="K5:L5"/>
    <mergeCell ref="B40:C40"/>
    <mergeCell ref="B38:C38"/>
    <mergeCell ref="B22:T22"/>
    <mergeCell ref="G23:H23"/>
    <mergeCell ref="I23:J23"/>
  </mergeCells>
  <pageMargins left="0.7" right="0.7" top="0.75" bottom="0.75" header="0.3" footer="0.3"/>
  <pageSetup scale="6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4"/>
  <sheetViews>
    <sheetView topLeftCell="N4" workbookViewId="0">
      <selection activeCell="N19" activeCellId="2" sqref="J19 L19 N19"/>
    </sheetView>
  </sheetViews>
  <sheetFormatPr defaultRowHeight="15" x14ac:dyDescent="0.25"/>
  <cols>
    <col min="1" max="1" width="39" customWidth="1"/>
    <col min="2" max="2" width="14.7109375" customWidth="1"/>
    <col min="3" max="3" width="11.5703125" customWidth="1"/>
    <col min="4" max="4" width="11.5703125" bestFit="1" customWidth="1"/>
    <col min="5" max="5" width="9.140625" customWidth="1"/>
  </cols>
  <sheetData>
    <row r="1" spans="1:20" x14ac:dyDescent="0.25">
      <c r="A1" s="1264" t="s">
        <v>324</v>
      </c>
      <c r="B1" s="1264"/>
      <c r="C1" s="1264"/>
      <c r="D1" s="1264"/>
      <c r="E1" s="1264"/>
      <c r="F1" s="1264"/>
      <c r="G1" s="1264"/>
      <c r="H1" s="1264"/>
      <c r="I1" s="1264"/>
      <c r="J1" s="1264"/>
      <c r="K1" s="1264"/>
      <c r="L1" s="1264"/>
      <c r="M1" s="1264"/>
      <c r="N1" s="1264"/>
      <c r="O1" s="1264"/>
      <c r="P1" s="1264"/>
      <c r="Q1" s="1264"/>
      <c r="R1" s="1264"/>
      <c r="S1" s="1264"/>
      <c r="T1" s="1264"/>
    </row>
    <row r="2" spans="1:20" x14ac:dyDescent="0.25">
      <c r="A2" s="1264" t="s">
        <v>1003</v>
      </c>
      <c r="B2" s="1264"/>
      <c r="C2" s="1264"/>
      <c r="D2" s="1264"/>
      <c r="E2" s="1264"/>
      <c r="F2" s="1264"/>
      <c r="G2" s="1264"/>
      <c r="H2" s="1264"/>
      <c r="I2" s="1264"/>
      <c r="J2" s="1264"/>
      <c r="K2" s="1264"/>
      <c r="L2" s="1264"/>
      <c r="M2" s="1264"/>
      <c r="N2" s="1264"/>
      <c r="O2" s="1264"/>
      <c r="P2" s="1264"/>
      <c r="Q2" s="1264"/>
      <c r="R2" s="1264"/>
      <c r="S2" s="1264"/>
      <c r="T2" s="1264"/>
    </row>
    <row r="3" spans="1:20" ht="15.75" thickBot="1" x14ac:dyDescent="0.3"/>
    <row r="4" spans="1:20" ht="15.75" thickBot="1" x14ac:dyDescent="0.3">
      <c r="A4" s="1268" t="s">
        <v>209</v>
      </c>
      <c r="B4" s="1269"/>
      <c r="C4" s="1269"/>
      <c r="D4" s="1269"/>
      <c r="E4" s="1269"/>
      <c r="F4" s="1269"/>
      <c r="G4" s="1269"/>
      <c r="H4" s="1269"/>
      <c r="I4" s="1269"/>
      <c r="J4" s="1269"/>
      <c r="K4" s="1269"/>
      <c r="L4" s="1269"/>
      <c r="M4" s="1269"/>
      <c r="N4" s="1269"/>
      <c r="O4" s="1269"/>
      <c r="P4" s="1269"/>
      <c r="Q4" s="1269"/>
      <c r="R4" s="1269"/>
      <c r="S4" s="1269"/>
      <c r="T4" s="1270"/>
    </row>
    <row r="5" spans="1:20" x14ac:dyDescent="0.25">
      <c r="A5" s="284"/>
      <c r="B5" s="285"/>
      <c r="C5" s="285"/>
      <c r="D5" s="286"/>
      <c r="E5" s="1271" t="s">
        <v>218</v>
      </c>
      <c r="F5" s="1272"/>
      <c r="G5" s="1266" t="s">
        <v>12</v>
      </c>
      <c r="H5" s="1266" t="s">
        <v>7</v>
      </c>
      <c r="I5" s="1266" t="s">
        <v>1</v>
      </c>
      <c r="J5" s="1266" t="s">
        <v>7</v>
      </c>
      <c r="K5" s="1266" t="s">
        <v>2</v>
      </c>
      <c r="L5" s="1266" t="s">
        <v>7</v>
      </c>
      <c r="M5" s="1266" t="s">
        <v>4</v>
      </c>
      <c r="N5" s="1266" t="s">
        <v>7</v>
      </c>
      <c r="O5" s="1266" t="s">
        <v>61</v>
      </c>
      <c r="P5" s="1266"/>
      <c r="Q5" s="1266" t="s">
        <v>60</v>
      </c>
      <c r="R5" s="1266"/>
      <c r="S5" s="1266" t="s">
        <v>102</v>
      </c>
      <c r="T5" s="1267"/>
    </row>
    <row r="6" spans="1:20" ht="26.25" x14ac:dyDescent="0.25">
      <c r="A6" s="287" t="s">
        <v>250</v>
      </c>
      <c r="B6" s="288" t="s">
        <v>252</v>
      </c>
      <c r="C6" s="296" t="s">
        <v>860</v>
      </c>
      <c r="D6" s="296" t="s">
        <v>461</v>
      </c>
      <c r="E6" s="288" t="s">
        <v>253</v>
      </c>
      <c r="F6" s="288" t="s">
        <v>254</v>
      </c>
      <c r="G6" s="288" t="s">
        <v>253</v>
      </c>
      <c r="H6" s="288" t="s">
        <v>254</v>
      </c>
      <c r="I6" s="288" t="s">
        <v>253</v>
      </c>
      <c r="J6" s="288" t="s">
        <v>254</v>
      </c>
      <c r="K6" s="288" t="s">
        <v>253</v>
      </c>
      <c r="L6" s="288" t="s">
        <v>254</v>
      </c>
      <c r="M6" s="288" t="s">
        <v>253</v>
      </c>
      <c r="N6" s="288" t="s">
        <v>254</v>
      </c>
      <c r="O6" s="288" t="s">
        <v>253</v>
      </c>
      <c r="P6" s="288" t="s">
        <v>254</v>
      </c>
      <c r="Q6" s="288" t="s">
        <v>253</v>
      </c>
      <c r="R6" s="288" t="s">
        <v>254</v>
      </c>
      <c r="S6" s="288" t="s">
        <v>253</v>
      </c>
      <c r="T6" s="289" t="s">
        <v>254</v>
      </c>
    </row>
    <row r="7" spans="1:20" x14ac:dyDescent="0.25">
      <c r="A7" s="355" t="s">
        <v>645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97"/>
    </row>
    <row r="8" spans="1:20" x14ac:dyDescent="0.25">
      <c r="A8" s="96" t="s">
        <v>457</v>
      </c>
      <c r="B8" s="22" t="s">
        <v>326</v>
      </c>
      <c r="C8" s="248">
        <v>450100</v>
      </c>
      <c r="D8" s="290">
        <f>'NG, Diesel and Propane totals'!B58</f>
        <v>2090.8000000000002</v>
      </c>
      <c r="E8" s="249">
        <f t="shared" ref="E8:E14" si="0">SUM(D8*$B$42/1000)</f>
        <v>0.44534040000000003</v>
      </c>
      <c r="F8" s="249">
        <f t="shared" ref="F8:F14" si="1">SUM(E8/2000)</f>
        <v>2.2267020000000002E-4</v>
      </c>
      <c r="G8" s="249">
        <f t="shared" ref="G8:G14" si="2">SUM(D8*$B$43/1000)</f>
        <v>41.816000000000003</v>
      </c>
      <c r="H8" s="291">
        <f t="shared" ref="H8:H14" si="3">SUM(G8/2000)</f>
        <v>2.0908000000000003E-2</v>
      </c>
      <c r="I8" s="249">
        <f t="shared" ref="I8:I14" si="4">SUM(D8*$B$44/1000)</f>
        <v>10.454000000000001</v>
      </c>
      <c r="J8" s="291">
        <f t="shared" ref="J8:J14" si="5">SUM(I8/2000)</f>
        <v>5.2270000000000007E-3</v>
      </c>
      <c r="K8" s="249">
        <f t="shared" ref="K8:K14" si="6">SUM(D8*$B$45/1000)</f>
        <v>0.71087200000000006</v>
      </c>
      <c r="L8" s="250">
        <f t="shared" ref="L8:L14" si="7">SUM(K8/2000)</f>
        <v>3.5543600000000004E-4</v>
      </c>
      <c r="M8" s="249">
        <f t="shared" ref="M8:M14" si="8">SUM(D8*$B$46/1000)</f>
        <v>4.1816000000000004</v>
      </c>
      <c r="N8" s="291">
        <f t="shared" ref="N8:N14" si="9">SUM(M8/2000)</f>
        <v>2.0908000000000003E-3</v>
      </c>
      <c r="O8" s="249">
        <f t="shared" ref="O8:O14" si="10">SUM(D8*$B$47/1000)</f>
        <v>1.7353640000000001</v>
      </c>
      <c r="P8" s="291">
        <f t="shared" ref="P8:P14" si="11">SUM(O8/2000)</f>
        <v>8.6768200000000005E-4</v>
      </c>
      <c r="Q8" s="249">
        <f t="shared" ref="Q8:Q14" si="12">SUM(D8*$B$48/1000)</f>
        <v>2.2580640000000005</v>
      </c>
      <c r="R8" s="291">
        <f t="shared" ref="R8:R14" si="13">SUM(Q8/2000)</f>
        <v>1.1290320000000003E-3</v>
      </c>
      <c r="S8" s="249">
        <f t="shared" ref="S8:S14" si="14">SUM(D8*$B$49/1000)</f>
        <v>1.6726400000000003</v>
      </c>
      <c r="T8" s="292">
        <f t="shared" ref="T8:T14" si="15">SUM(S8/2000)</f>
        <v>8.3632000000000021E-4</v>
      </c>
    </row>
    <row r="9" spans="1:20" x14ac:dyDescent="0.25">
      <c r="A9" s="96" t="s">
        <v>458</v>
      </c>
      <c r="B9" s="22" t="s">
        <v>328</v>
      </c>
      <c r="C9" s="248">
        <v>450100</v>
      </c>
      <c r="D9" s="290">
        <f>'NG, Diesel and Propane totals'!B59</f>
        <v>1507.3</v>
      </c>
      <c r="E9" s="249">
        <f t="shared" si="0"/>
        <v>0.32105489999999998</v>
      </c>
      <c r="F9" s="249">
        <f t="shared" si="1"/>
        <v>1.6052744999999998E-4</v>
      </c>
      <c r="G9" s="249">
        <f t="shared" si="2"/>
        <v>30.146000000000001</v>
      </c>
      <c r="H9" s="291">
        <f t="shared" si="3"/>
        <v>1.5073E-2</v>
      </c>
      <c r="I9" s="249">
        <f t="shared" si="4"/>
        <v>7.5365000000000002</v>
      </c>
      <c r="J9" s="291">
        <f t="shared" si="5"/>
        <v>3.7682499999999999E-3</v>
      </c>
      <c r="K9" s="249">
        <f t="shared" si="6"/>
        <v>0.51248199999999999</v>
      </c>
      <c r="L9" s="250">
        <f t="shared" si="7"/>
        <v>2.5624099999999999E-4</v>
      </c>
      <c r="M9" s="249">
        <f t="shared" si="8"/>
        <v>3.0145999999999997</v>
      </c>
      <c r="N9" s="291">
        <f t="shared" si="9"/>
        <v>1.5072999999999998E-3</v>
      </c>
      <c r="O9" s="249">
        <f t="shared" si="10"/>
        <v>1.2510589999999999</v>
      </c>
      <c r="P9" s="291">
        <f t="shared" si="11"/>
        <v>6.2552949999999995E-4</v>
      </c>
      <c r="Q9" s="249">
        <f t="shared" si="12"/>
        <v>1.6278840000000001</v>
      </c>
      <c r="R9" s="291">
        <f t="shared" si="13"/>
        <v>8.1394200000000001E-4</v>
      </c>
      <c r="S9" s="249">
        <f t="shared" si="14"/>
        <v>1.20584</v>
      </c>
      <c r="T9" s="292">
        <f t="shared" si="15"/>
        <v>6.0292000000000006E-4</v>
      </c>
    </row>
    <row r="10" spans="1:20" x14ac:dyDescent="0.25">
      <c r="A10" s="96" t="s">
        <v>329</v>
      </c>
      <c r="B10" s="22" t="s">
        <v>330</v>
      </c>
      <c r="C10" s="248">
        <v>450000</v>
      </c>
      <c r="D10" s="290">
        <f>'NG, Diesel and Propane totals'!B57</f>
        <v>852.7</v>
      </c>
      <c r="E10" s="249">
        <f t="shared" si="0"/>
        <v>0.18162510000000001</v>
      </c>
      <c r="F10" s="249">
        <f t="shared" si="1"/>
        <v>9.0812550000000009E-5</v>
      </c>
      <c r="G10" s="249">
        <f t="shared" si="2"/>
        <v>17.053999999999998</v>
      </c>
      <c r="H10" s="291">
        <f t="shared" si="3"/>
        <v>8.5269999999999999E-3</v>
      </c>
      <c r="I10" s="249">
        <f t="shared" si="4"/>
        <v>4.2634999999999996</v>
      </c>
      <c r="J10" s="291">
        <f t="shared" si="5"/>
        <v>2.13175E-3</v>
      </c>
      <c r="K10" s="249">
        <f t="shared" si="6"/>
        <v>0.28991800000000006</v>
      </c>
      <c r="L10" s="250">
        <f t="shared" si="7"/>
        <v>1.4495900000000003E-4</v>
      </c>
      <c r="M10" s="249">
        <f t="shared" si="8"/>
        <v>1.7054</v>
      </c>
      <c r="N10" s="291">
        <f t="shared" si="9"/>
        <v>8.5269999999999996E-4</v>
      </c>
      <c r="O10" s="249">
        <f t="shared" si="10"/>
        <v>0.70774099999999995</v>
      </c>
      <c r="P10" s="291">
        <f t="shared" si="11"/>
        <v>3.5387049999999995E-4</v>
      </c>
      <c r="Q10" s="249">
        <f t="shared" si="12"/>
        <v>0.92091600000000007</v>
      </c>
      <c r="R10" s="291">
        <f t="shared" si="13"/>
        <v>4.6045800000000002E-4</v>
      </c>
      <c r="S10" s="249">
        <f t="shared" si="14"/>
        <v>0.6821600000000001</v>
      </c>
      <c r="T10" s="292">
        <f t="shared" si="15"/>
        <v>3.4108000000000006E-4</v>
      </c>
    </row>
    <row r="11" spans="1:20" x14ac:dyDescent="0.25">
      <c r="A11" s="96" t="s">
        <v>487</v>
      </c>
      <c r="B11" s="22" t="s">
        <v>331</v>
      </c>
      <c r="C11" s="248">
        <v>240000</v>
      </c>
      <c r="D11" s="290">
        <f>'NG, Diesel and Propane totals'!B62</f>
        <v>1907.5</v>
      </c>
      <c r="E11" s="249">
        <f t="shared" si="0"/>
        <v>0.40629750000000003</v>
      </c>
      <c r="F11" s="249">
        <f t="shared" si="1"/>
        <v>2.0314875000000001E-4</v>
      </c>
      <c r="G11" s="249">
        <f t="shared" si="2"/>
        <v>38.15</v>
      </c>
      <c r="H11" s="291">
        <f t="shared" si="3"/>
        <v>1.9074999999999998E-2</v>
      </c>
      <c r="I11" s="249">
        <f t="shared" si="4"/>
        <v>9.5374999999999996</v>
      </c>
      <c r="J11" s="291">
        <f t="shared" si="5"/>
        <v>4.7687499999999996E-3</v>
      </c>
      <c r="K11" s="249">
        <f t="shared" si="6"/>
        <v>0.64855000000000007</v>
      </c>
      <c r="L11" s="250">
        <f t="shared" si="7"/>
        <v>3.2427500000000006E-4</v>
      </c>
      <c r="M11" s="249">
        <f t="shared" si="8"/>
        <v>3.8149999999999999</v>
      </c>
      <c r="N11" s="291">
        <f t="shared" si="9"/>
        <v>1.9074999999999999E-3</v>
      </c>
      <c r="O11" s="249">
        <f t="shared" si="10"/>
        <v>1.5832249999999999</v>
      </c>
      <c r="P11" s="291">
        <f t="shared" si="11"/>
        <v>7.9161249999999998E-4</v>
      </c>
      <c r="Q11" s="249">
        <f t="shared" si="12"/>
        <v>2.0600999999999998</v>
      </c>
      <c r="R11" s="291">
        <f t="shared" si="13"/>
        <v>1.0300499999999998E-3</v>
      </c>
      <c r="S11" s="249">
        <f t="shared" si="14"/>
        <v>1.526</v>
      </c>
      <c r="T11" s="292">
        <f t="shared" si="15"/>
        <v>7.6300000000000001E-4</v>
      </c>
    </row>
    <row r="12" spans="1:20" x14ac:dyDescent="0.25">
      <c r="A12" s="96" t="s">
        <v>505</v>
      </c>
      <c r="B12" s="247"/>
      <c r="C12" s="298">
        <v>200000</v>
      </c>
      <c r="D12" s="299">
        <f>'NG, Diesel and Propane totals'!B60</f>
        <v>0</v>
      </c>
      <c r="E12" s="249">
        <f t="shared" si="0"/>
        <v>0</v>
      </c>
      <c r="F12" s="249">
        <f t="shared" si="1"/>
        <v>0</v>
      </c>
      <c r="G12" s="249">
        <f t="shared" si="2"/>
        <v>0</v>
      </c>
      <c r="H12" s="291">
        <f t="shared" si="3"/>
        <v>0</v>
      </c>
      <c r="I12" s="249">
        <f t="shared" si="4"/>
        <v>0</v>
      </c>
      <c r="J12" s="291">
        <f t="shared" si="5"/>
        <v>0</v>
      </c>
      <c r="K12" s="249">
        <f t="shared" si="6"/>
        <v>0</v>
      </c>
      <c r="L12" s="250">
        <f t="shared" si="7"/>
        <v>0</v>
      </c>
      <c r="M12" s="249">
        <f t="shared" si="8"/>
        <v>0</v>
      </c>
      <c r="N12" s="291">
        <f t="shared" si="9"/>
        <v>0</v>
      </c>
      <c r="O12" s="249">
        <f t="shared" si="10"/>
        <v>0</v>
      </c>
      <c r="P12" s="291">
        <f t="shared" si="11"/>
        <v>0</v>
      </c>
      <c r="Q12" s="249">
        <f t="shared" si="12"/>
        <v>0</v>
      </c>
      <c r="R12" s="291">
        <f t="shared" si="13"/>
        <v>0</v>
      </c>
      <c r="S12" s="249">
        <f t="shared" si="14"/>
        <v>0</v>
      </c>
      <c r="T12" s="292">
        <f t="shared" si="15"/>
        <v>0</v>
      </c>
    </row>
    <row r="13" spans="1:20" x14ac:dyDescent="0.25">
      <c r="A13" s="297" t="s">
        <v>682</v>
      </c>
      <c r="B13" s="247"/>
      <c r="C13" s="298">
        <v>450100</v>
      </c>
      <c r="D13" s="299">
        <f>'NG, Diesel and Propane totals'!B64</f>
        <v>1539.5</v>
      </c>
      <c r="E13" s="249">
        <f t="shared" si="0"/>
        <v>0.32791350000000002</v>
      </c>
      <c r="F13" s="249">
        <f>SUM(E13/2000)</f>
        <v>1.6395675000000003E-4</v>
      </c>
      <c r="G13" s="249">
        <f t="shared" si="2"/>
        <v>30.79</v>
      </c>
      <c r="H13" s="291">
        <f>SUM(G13/2000)</f>
        <v>1.5394999999999999E-2</v>
      </c>
      <c r="I13" s="249">
        <f t="shared" si="4"/>
        <v>7.6974999999999998</v>
      </c>
      <c r="J13" s="291">
        <f>SUM(I13/2000)</f>
        <v>3.8487499999999997E-3</v>
      </c>
      <c r="K13" s="249">
        <f t="shared" si="6"/>
        <v>0.52343000000000006</v>
      </c>
      <c r="L13" s="250">
        <f>SUM(K13/2000)</f>
        <v>2.6171500000000004E-4</v>
      </c>
      <c r="M13" s="249">
        <f t="shared" si="8"/>
        <v>3.0790000000000002</v>
      </c>
      <c r="N13" s="291">
        <f>SUM(M13/2000)</f>
        <v>1.5395000000000001E-3</v>
      </c>
      <c r="O13" s="249">
        <f t="shared" si="10"/>
        <v>1.2777849999999999</v>
      </c>
      <c r="P13" s="291">
        <f>SUM(O13/2000)</f>
        <v>6.3889250000000002E-4</v>
      </c>
      <c r="Q13" s="249">
        <f t="shared" si="12"/>
        <v>1.66266</v>
      </c>
      <c r="R13" s="291">
        <f>SUM(Q13/2000)</f>
        <v>8.3133000000000002E-4</v>
      </c>
      <c r="S13" s="249">
        <f t="shared" si="14"/>
        <v>1.2316</v>
      </c>
      <c r="T13" s="292">
        <f>SUM(S13/2000)</f>
        <v>6.1580000000000001E-4</v>
      </c>
    </row>
    <row r="14" spans="1:20" x14ac:dyDescent="0.25">
      <c r="A14" s="96" t="s">
        <v>486</v>
      </c>
      <c r="B14" s="247"/>
      <c r="C14" s="298">
        <v>200000</v>
      </c>
      <c r="D14" s="290">
        <f>'NG, Diesel and Propane totals'!B61</f>
        <v>900</v>
      </c>
      <c r="E14" s="249">
        <f t="shared" si="0"/>
        <v>0.19169999999999998</v>
      </c>
      <c r="F14" s="249">
        <f t="shared" si="1"/>
        <v>9.5849999999999985E-5</v>
      </c>
      <c r="G14" s="249">
        <f t="shared" si="2"/>
        <v>18</v>
      </c>
      <c r="H14" s="291">
        <f t="shared" si="3"/>
        <v>8.9999999999999993E-3</v>
      </c>
      <c r="I14" s="249">
        <f t="shared" si="4"/>
        <v>4.5</v>
      </c>
      <c r="J14" s="291">
        <f t="shared" si="5"/>
        <v>2.2499999999999998E-3</v>
      </c>
      <c r="K14" s="249">
        <f t="shared" si="6"/>
        <v>0.30599999999999999</v>
      </c>
      <c r="L14" s="250">
        <f t="shared" si="7"/>
        <v>1.5300000000000001E-4</v>
      </c>
      <c r="M14" s="249">
        <f t="shared" si="8"/>
        <v>1.8</v>
      </c>
      <c r="N14" s="291">
        <f t="shared" si="9"/>
        <v>8.9999999999999998E-4</v>
      </c>
      <c r="O14" s="249">
        <f t="shared" si="10"/>
        <v>0.747</v>
      </c>
      <c r="P14" s="291">
        <f t="shared" si="11"/>
        <v>3.7350000000000003E-4</v>
      </c>
      <c r="Q14" s="249">
        <f t="shared" si="12"/>
        <v>0.97200000000000009</v>
      </c>
      <c r="R14" s="291">
        <f t="shared" si="13"/>
        <v>4.8600000000000005E-4</v>
      </c>
      <c r="S14" s="249">
        <f t="shared" si="14"/>
        <v>0.72</v>
      </c>
      <c r="T14" s="292">
        <f t="shared" si="15"/>
        <v>3.5999999999999997E-4</v>
      </c>
    </row>
    <row r="15" spans="1:20" x14ac:dyDescent="0.25">
      <c r="A15" s="297"/>
      <c r="B15" s="247"/>
      <c r="C15" s="298"/>
      <c r="D15" s="299"/>
      <c r="E15" s="300"/>
      <c r="F15" s="300"/>
      <c r="G15" s="300"/>
      <c r="H15" s="301"/>
      <c r="I15" s="300"/>
      <c r="J15" s="301"/>
      <c r="K15" s="300"/>
      <c r="L15" s="302"/>
      <c r="M15" s="300"/>
      <c r="N15" s="301"/>
      <c r="O15" s="300"/>
      <c r="P15" s="301"/>
      <c r="Q15" s="300"/>
      <c r="R15" s="301"/>
      <c r="S15" s="300"/>
      <c r="T15" s="309"/>
    </row>
    <row r="16" spans="1:20" x14ac:dyDescent="0.25">
      <c r="A16" s="96" t="s">
        <v>332</v>
      </c>
      <c r="B16" s="22" t="s">
        <v>328</v>
      </c>
      <c r="C16" s="248">
        <v>80000</v>
      </c>
      <c r="D16" s="290">
        <v>0</v>
      </c>
      <c r="E16" s="250">
        <f>SUM(D16*0.6*2.5/10^6*8760)</f>
        <v>0</v>
      </c>
      <c r="F16" s="291">
        <f>SUM(E16/2000)</f>
        <v>0</v>
      </c>
      <c r="G16" s="249">
        <f>SUM(D16*94*2.5/10^6*8760)</f>
        <v>0</v>
      </c>
      <c r="H16" s="291">
        <f>SUM(G16/2000)</f>
        <v>0</v>
      </c>
      <c r="I16" s="249">
        <f>SUM(D16*40*2.5/10^6*8760)</f>
        <v>0</v>
      </c>
      <c r="J16" s="291">
        <f>SUM(I16/2000)</f>
        <v>0</v>
      </c>
      <c r="K16" s="249">
        <f>SUM(D16*5.5*2.5/10^6*8760)</f>
        <v>0</v>
      </c>
      <c r="L16" s="250">
        <f>SUM(K16/2000)</f>
        <v>0</v>
      </c>
      <c r="M16" s="249">
        <f>SUM(D16*7.6*2.5/10^6*8760)</f>
        <v>0</v>
      </c>
      <c r="N16" s="291">
        <f>SUM(M16/2000)</f>
        <v>0</v>
      </c>
      <c r="O16" s="250">
        <f>SUM(D16*1.9*2.5/10^6*8760)</f>
        <v>0</v>
      </c>
      <c r="P16" s="291">
        <f>SUM(O16/2000)</f>
        <v>0</v>
      </c>
      <c r="Q16" s="249">
        <f>SUM(D16*$B$48/1000)</f>
        <v>0</v>
      </c>
      <c r="R16" s="291">
        <f>SUM(Q16/2000)</f>
        <v>0</v>
      </c>
      <c r="S16" s="249">
        <f>SUM(D16*3.2*2.5/10^6*8760)</f>
        <v>0</v>
      </c>
      <c r="T16" s="292">
        <f>SUM(S16/2000)</f>
        <v>0</v>
      </c>
    </row>
    <row r="17" spans="1:20" x14ac:dyDescent="0.25">
      <c r="A17" s="297"/>
      <c r="B17" s="247"/>
      <c r="C17" s="298"/>
      <c r="D17" s="299"/>
      <c r="E17" s="300"/>
      <c r="F17" s="300"/>
      <c r="G17" s="300"/>
      <c r="H17" s="301"/>
      <c r="I17" s="300"/>
      <c r="J17" s="301"/>
      <c r="K17" s="300"/>
      <c r="L17" s="302"/>
      <c r="M17" s="300"/>
      <c r="N17" s="301"/>
      <c r="O17" s="300"/>
      <c r="P17" s="301"/>
      <c r="Q17" s="300"/>
      <c r="R17" s="301"/>
      <c r="S17" s="300"/>
      <c r="T17" s="309"/>
    </row>
    <row r="18" spans="1:20" ht="15.75" thickBot="1" x14ac:dyDescent="0.3">
      <c r="A18" s="297"/>
      <c r="B18" s="247"/>
      <c r="C18" s="298"/>
      <c r="D18" s="299"/>
      <c r="E18" s="300"/>
      <c r="F18" s="300"/>
      <c r="G18" s="300"/>
      <c r="H18" s="301"/>
      <c r="I18" s="300"/>
      <c r="J18" s="301"/>
      <c r="K18" s="300"/>
      <c r="L18" s="302"/>
      <c r="M18" s="300"/>
      <c r="N18" s="301"/>
      <c r="O18" s="247"/>
      <c r="P18" s="247"/>
      <c r="Q18" s="247"/>
      <c r="R18" s="247"/>
      <c r="S18" s="247"/>
      <c r="T18" s="303"/>
    </row>
    <row r="19" spans="1:20" ht="15.75" thickBot="1" x14ac:dyDescent="0.3">
      <c r="A19" s="304" t="s">
        <v>333</v>
      </c>
      <c r="B19" s="305"/>
      <c r="C19" s="306">
        <f t="shared" ref="C19:T19" si="16">SUM(C8:C14)</f>
        <v>2440300</v>
      </c>
      <c r="D19" s="350">
        <f t="shared" si="16"/>
        <v>8797.7999999999993</v>
      </c>
      <c r="E19" s="661">
        <f t="shared" si="16"/>
        <v>1.8739314</v>
      </c>
      <c r="F19" s="794">
        <f t="shared" si="16"/>
        <v>9.3696570000000013E-4</v>
      </c>
      <c r="G19" s="661">
        <f t="shared" si="16"/>
        <v>175.95599999999999</v>
      </c>
      <c r="H19" s="793">
        <f t="shared" si="16"/>
        <v>8.7977999999999987E-2</v>
      </c>
      <c r="I19" s="661">
        <f t="shared" si="16"/>
        <v>43.988999999999997</v>
      </c>
      <c r="J19" s="793">
        <f t="shared" si="16"/>
        <v>2.1994499999999997E-2</v>
      </c>
      <c r="K19" s="661">
        <f t="shared" si="16"/>
        <v>2.9912520000000002</v>
      </c>
      <c r="L19" s="793">
        <f t="shared" si="16"/>
        <v>1.4956260000000001E-3</v>
      </c>
      <c r="M19" s="661">
        <f t="shared" si="16"/>
        <v>17.595600000000001</v>
      </c>
      <c r="N19" s="793">
        <f t="shared" si="16"/>
        <v>8.7977999999999997E-3</v>
      </c>
      <c r="O19" s="661">
        <f t="shared" si="16"/>
        <v>7.3021739999999999</v>
      </c>
      <c r="P19" s="793">
        <f t="shared" si="16"/>
        <v>3.6510870000000003E-3</v>
      </c>
      <c r="Q19" s="661">
        <f t="shared" si="16"/>
        <v>9.5016240000000014</v>
      </c>
      <c r="R19" s="793">
        <f t="shared" si="16"/>
        <v>4.750812000000001E-3</v>
      </c>
      <c r="S19" s="661">
        <f t="shared" si="16"/>
        <v>7.0382400000000009</v>
      </c>
      <c r="T19" s="793">
        <f t="shared" si="16"/>
        <v>3.5191200000000006E-3</v>
      </c>
    </row>
    <row r="22" spans="1:20" ht="15.75" thickBot="1" x14ac:dyDescent="0.3"/>
    <row r="23" spans="1:20" ht="15.75" thickBot="1" x14ac:dyDescent="0.3">
      <c r="A23" s="281" t="s">
        <v>207</v>
      </c>
      <c r="B23" s="282"/>
      <c r="C23" s="282"/>
      <c r="D23" s="282"/>
      <c r="E23" s="282"/>
      <c r="F23" s="282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82"/>
      <c r="R23" s="282"/>
      <c r="S23" s="282"/>
      <c r="T23" s="283"/>
    </row>
    <row r="24" spans="1:20" ht="15" customHeight="1" thickBot="1" x14ac:dyDescent="0.3">
      <c r="A24" s="284"/>
      <c r="B24" s="285"/>
      <c r="C24" s="285"/>
      <c r="D24" s="307"/>
      <c r="E24" s="1266" t="s">
        <v>459</v>
      </c>
      <c r="F24" s="1266"/>
      <c r="G24" s="1266" t="s">
        <v>12</v>
      </c>
      <c r="H24" s="1266"/>
      <c r="I24" s="1266" t="s">
        <v>121</v>
      </c>
      <c r="J24" s="1266"/>
      <c r="K24" s="1266" t="s">
        <v>2</v>
      </c>
      <c r="L24" s="1266"/>
      <c r="M24" s="1266" t="s">
        <v>4</v>
      </c>
      <c r="N24" s="1266"/>
      <c r="O24" s="1266" t="s">
        <v>61</v>
      </c>
      <c r="P24" s="1266"/>
      <c r="Q24" s="1266" t="s">
        <v>60</v>
      </c>
      <c r="R24" s="1266"/>
      <c r="S24" s="1266" t="s">
        <v>102</v>
      </c>
      <c r="T24" s="1267"/>
    </row>
    <row r="25" spans="1:20" x14ac:dyDescent="0.25">
      <c r="A25" s="287" t="s">
        <v>250</v>
      </c>
      <c r="B25" s="288" t="s">
        <v>252</v>
      </c>
      <c r="C25" s="288" t="s">
        <v>251</v>
      </c>
      <c r="D25" s="308" t="s">
        <v>462</v>
      </c>
      <c r="E25" s="288" t="s">
        <v>253</v>
      </c>
      <c r="F25" s="288" t="s">
        <v>254</v>
      </c>
      <c r="G25" s="288" t="s">
        <v>253</v>
      </c>
      <c r="H25" s="288" t="s">
        <v>254</v>
      </c>
      <c r="I25" s="288" t="s">
        <v>253</v>
      </c>
      <c r="J25" s="288" t="s">
        <v>254</v>
      </c>
      <c r="K25" s="288" t="s">
        <v>253</v>
      </c>
      <c r="L25" s="288" t="s">
        <v>254</v>
      </c>
      <c r="M25" s="288" t="s">
        <v>253</v>
      </c>
      <c r="N25" s="288" t="s">
        <v>254</v>
      </c>
      <c r="O25" s="288" t="s">
        <v>253</v>
      </c>
      <c r="P25" s="288" t="s">
        <v>254</v>
      </c>
      <c r="Q25" s="288">
        <v>24</v>
      </c>
      <c r="R25" s="288" t="s">
        <v>254</v>
      </c>
      <c r="S25" s="288" t="s">
        <v>253</v>
      </c>
      <c r="T25" s="289" t="s">
        <v>254</v>
      </c>
    </row>
    <row r="26" spans="1:20" x14ac:dyDescent="0.25">
      <c r="A26" s="96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97"/>
    </row>
    <row r="27" spans="1:20" x14ac:dyDescent="0.25">
      <c r="A27" s="96" t="s">
        <v>325</v>
      </c>
      <c r="B27" s="22" t="s">
        <v>326</v>
      </c>
      <c r="C27" s="248">
        <v>450100</v>
      </c>
      <c r="D27" s="290">
        <f>SUM(C27/140000)</f>
        <v>3.2149999999999999</v>
      </c>
      <c r="E27" s="249">
        <f t="shared" ref="E27:E33" si="17">SUM(D27*$B$42/1000*8760)</f>
        <v>5.9988041999999995</v>
      </c>
      <c r="F27" s="249">
        <f t="shared" ref="F27:F33" si="18">SUM(E27/2000)</f>
        <v>2.9994020999999996E-3</v>
      </c>
      <c r="G27" s="249">
        <f>SUM(D27*B43/1000*8760)</f>
        <v>563.26799999999992</v>
      </c>
      <c r="H27" s="249">
        <f t="shared" ref="H27:H33" si="19">SUM(G27/2000)</f>
        <v>0.28163399999999994</v>
      </c>
      <c r="I27" s="249">
        <f>SUM(D27*5/1000*8760)</f>
        <v>140.81699999999998</v>
      </c>
      <c r="J27" s="249">
        <f t="shared" ref="J27:J33" si="20">SUM(I27/2000)</f>
        <v>7.0408499999999985E-2</v>
      </c>
      <c r="K27" s="249">
        <f>SUM(D27*0.34/1000*8760)</f>
        <v>9.5755560000000006</v>
      </c>
      <c r="L27" s="249">
        <f t="shared" ref="L27:L33" si="21">SUM(K27/2000)</f>
        <v>4.7877780000000003E-3</v>
      </c>
      <c r="M27" s="249">
        <f>SUM(D27*2/1000*8760)</f>
        <v>56.326799999999999</v>
      </c>
      <c r="N27" s="249">
        <f t="shared" ref="N27:N33" si="22">SUM(M27/2000)</f>
        <v>2.8163399999999998E-2</v>
      </c>
      <c r="O27" s="249">
        <f t="shared" ref="O27:O33" si="23">SUM(D27*$B$47/1000*8760)</f>
        <v>23.375621999999996</v>
      </c>
      <c r="P27" s="291">
        <f t="shared" ref="P27:P33" si="24">SUM(O27/2000)</f>
        <v>1.1687810999999998E-2</v>
      </c>
      <c r="Q27" s="249">
        <f t="shared" ref="Q27:Q33" si="25">SUM(D27*$B$48/1000*8760)</f>
        <v>30.416471999999999</v>
      </c>
      <c r="R27" s="291">
        <f t="shared" ref="R27:R33" si="26">SUM(Q27/2000)</f>
        <v>1.5208236E-2</v>
      </c>
      <c r="S27" s="249">
        <f t="shared" ref="S27:S33" si="27">SUM(D27*$B$49/1000*8760)</f>
        <v>22.530720000000002</v>
      </c>
      <c r="T27" s="292">
        <f>S27/2000</f>
        <v>1.126536E-2</v>
      </c>
    </row>
    <row r="28" spans="1:20" x14ac:dyDescent="0.25">
      <c r="A28" s="96" t="s">
        <v>327</v>
      </c>
      <c r="B28" s="22" t="s">
        <v>328</v>
      </c>
      <c r="C28" s="248">
        <v>450100</v>
      </c>
      <c r="D28" s="290">
        <f>SUM(C28/140000)</f>
        <v>3.2149999999999999</v>
      </c>
      <c r="E28" s="249">
        <f t="shared" si="17"/>
        <v>5.9988041999999995</v>
      </c>
      <c r="F28" s="249">
        <f t="shared" si="18"/>
        <v>2.9994020999999996E-3</v>
      </c>
      <c r="G28" s="249">
        <f>SUM(D28*B43/1000*8760)</f>
        <v>563.26799999999992</v>
      </c>
      <c r="H28" s="249">
        <f t="shared" si="19"/>
        <v>0.28163399999999994</v>
      </c>
      <c r="I28" s="249">
        <f>SUM(D28*5/1000*8760)</f>
        <v>140.81699999999998</v>
      </c>
      <c r="J28" s="249">
        <f t="shared" si="20"/>
        <v>7.0408499999999985E-2</v>
      </c>
      <c r="K28" s="249">
        <f>SUM(D28*0.34/1000*8760)</f>
        <v>9.5755560000000006</v>
      </c>
      <c r="L28" s="249">
        <f t="shared" si="21"/>
        <v>4.7877780000000003E-3</v>
      </c>
      <c r="M28" s="249">
        <f>SUM(D28*2/1000*8760)</f>
        <v>56.326799999999999</v>
      </c>
      <c r="N28" s="249">
        <f t="shared" si="22"/>
        <v>2.8163399999999998E-2</v>
      </c>
      <c r="O28" s="249">
        <f t="shared" si="23"/>
        <v>23.375621999999996</v>
      </c>
      <c r="P28" s="291">
        <f t="shared" si="24"/>
        <v>1.1687810999999998E-2</v>
      </c>
      <c r="Q28" s="249">
        <f t="shared" si="25"/>
        <v>30.416471999999999</v>
      </c>
      <c r="R28" s="291">
        <f t="shared" si="26"/>
        <v>1.5208236E-2</v>
      </c>
      <c r="S28" s="249">
        <f t="shared" si="27"/>
        <v>22.530720000000002</v>
      </c>
      <c r="T28" s="292">
        <f>S28/2000</f>
        <v>1.126536E-2</v>
      </c>
    </row>
    <row r="29" spans="1:20" x14ac:dyDescent="0.25">
      <c r="A29" s="96" t="s">
        <v>329</v>
      </c>
      <c r="B29" s="22" t="s">
        <v>330</v>
      </c>
      <c r="C29" s="248">
        <v>450000</v>
      </c>
      <c r="D29" s="290">
        <f>SUM(C29/140000)</f>
        <v>3.2142857142857144</v>
      </c>
      <c r="E29" s="249">
        <f t="shared" si="17"/>
        <v>5.9974714285714281</v>
      </c>
      <c r="F29" s="249">
        <f t="shared" si="18"/>
        <v>2.9987357142857141E-3</v>
      </c>
      <c r="G29" s="249">
        <f>SUM(D29*B43/1000*8760)</f>
        <v>563.14285714285722</v>
      </c>
      <c r="H29" s="249">
        <f t="shared" si="19"/>
        <v>0.28157142857142864</v>
      </c>
      <c r="I29" s="249">
        <f>SUM(D29*5/1000*8760)</f>
        <v>140.78571428571431</v>
      </c>
      <c r="J29" s="249">
        <f t="shared" si="20"/>
        <v>7.039285714285716E-2</v>
      </c>
      <c r="K29" s="249">
        <f>SUM(D29*0.34/1000*8760)</f>
        <v>9.5734285714285736</v>
      </c>
      <c r="L29" s="249">
        <f t="shared" si="21"/>
        <v>4.7867142857142865E-3</v>
      </c>
      <c r="M29" s="249">
        <f>SUM(D29*2/1000*8760)</f>
        <v>56.314285714285717</v>
      </c>
      <c r="N29" s="249">
        <f t="shared" si="22"/>
        <v>2.815714285714286E-2</v>
      </c>
      <c r="O29" s="249">
        <f t="shared" si="23"/>
        <v>23.370428571428572</v>
      </c>
      <c r="P29" s="291">
        <f t="shared" si="24"/>
        <v>1.1685214285714287E-2</v>
      </c>
      <c r="Q29" s="249">
        <f t="shared" si="25"/>
        <v>30.409714285714291</v>
      </c>
      <c r="R29" s="291">
        <f t="shared" si="26"/>
        <v>1.5204857142857145E-2</v>
      </c>
      <c r="S29" s="249">
        <f t="shared" si="27"/>
        <v>22.525714285714287</v>
      </c>
      <c r="T29" s="292">
        <f>S29/2000</f>
        <v>1.1262857142857144E-2</v>
      </c>
    </row>
    <row r="30" spans="1:20" x14ac:dyDescent="0.25">
      <c r="A30" s="96" t="s">
        <v>572</v>
      </c>
      <c r="B30" s="22" t="s">
        <v>331</v>
      </c>
      <c r="C30" s="248">
        <v>240000</v>
      </c>
      <c r="D30" s="290">
        <f>C30/138000</f>
        <v>1.7391304347826086</v>
      </c>
      <c r="E30" s="249">
        <f t="shared" si="17"/>
        <v>3.2450086956521735</v>
      </c>
      <c r="F30" s="249">
        <f>SUM(E30/2000)</f>
        <v>1.6225043478260868E-3</v>
      </c>
      <c r="G30" s="249">
        <f>SUM(D30*$B$43/1000*8760)</f>
        <v>304.69565217391306</v>
      </c>
      <c r="H30" s="249">
        <f>SUM(G30/2000)</f>
        <v>0.15234782608695652</v>
      </c>
      <c r="I30" s="249">
        <f>SUM(D30*$B$44/1000*8760)</f>
        <v>76.173913043478265</v>
      </c>
      <c r="J30" s="249">
        <f>SUM(I30/2000)</f>
        <v>3.8086956521739129E-2</v>
      </c>
      <c r="K30" s="249">
        <f>SUM(D30*$B$45/1000*8760)</f>
        <v>5.1798260869565222</v>
      </c>
      <c r="L30" s="249">
        <f>SUM(K30/2000)</f>
        <v>2.589913043478261E-3</v>
      </c>
      <c r="M30" s="249">
        <f>SUM(D30*$B$46/1000*8760)</f>
        <v>30.469565217391303</v>
      </c>
      <c r="N30" s="249">
        <f>SUM(M30/2000)</f>
        <v>1.5234782608695652E-2</v>
      </c>
      <c r="O30" s="249">
        <f t="shared" si="23"/>
        <v>12.644869565217391</v>
      </c>
      <c r="P30" s="291">
        <f>SUM(O30/2000)</f>
        <v>6.3224347826086958E-3</v>
      </c>
      <c r="Q30" s="249">
        <f t="shared" si="25"/>
        <v>16.453565217391304</v>
      </c>
      <c r="R30" s="291">
        <f t="shared" si="26"/>
        <v>8.2267826086956514E-3</v>
      </c>
      <c r="S30" s="249">
        <f t="shared" si="27"/>
        <v>12.187826086956521</v>
      </c>
      <c r="T30" s="292">
        <f>S30/2000</f>
        <v>6.0939130434782603E-3</v>
      </c>
    </row>
    <row r="31" spans="1:20" x14ac:dyDescent="0.25">
      <c r="A31" s="96" t="s">
        <v>505</v>
      </c>
      <c r="B31" s="22"/>
      <c r="C31" s="248">
        <v>200000</v>
      </c>
      <c r="D31" s="290">
        <f>C31/138000</f>
        <v>1.4492753623188406</v>
      </c>
      <c r="E31" s="249">
        <f t="shared" si="17"/>
        <v>2.7041739130434781</v>
      </c>
      <c r="F31" s="249">
        <f t="shared" si="18"/>
        <v>1.3520869565217389E-3</v>
      </c>
      <c r="G31" s="249">
        <f>SUM(D31*$B$43/1000*8760)</f>
        <v>253.91304347826087</v>
      </c>
      <c r="H31" s="249">
        <f t="shared" si="19"/>
        <v>0.12695652173913044</v>
      </c>
      <c r="I31" s="249">
        <f>SUM(D31*$B$44/1000*8760)</f>
        <v>63.478260869565219</v>
      </c>
      <c r="J31" s="249">
        <f t="shared" si="20"/>
        <v>3.173913043478261E-2</v>
      </c>
      <c r="K31" s="249">
        <f>SUM(D31*$B$45/1000*8760)</f>
        <v>4.3165217391304349</v>
      </c>
      <c r="L31" s="249">
        <f t="shared" si="21"/>
        <v>2.1582608695652175E-3</v>
      </c>
      <c r="M31" s="249">
        <f>SUM(D31*$B$46/1000*8760)</f>
        <v>25.391304347826086</v>
      </c>
      <c r="N31" s="249">
        <f t="shared" si="22"/>
        <v>1.2695652173913044E-2</v>
      </c>
      <c r="O31" s="249">
        <f t="shared" si="23"/>
        <v>10.537391304347826</v>
      </c>
      <c r="P31" s="291">
        <f t="shared" si="24"/>
        <v>5.2686956521739133E-3</v>
      </c>
      <c r="Q31" s="249">
        <f t="shared" si="25"/>
        <v>13.711304347826088</v>
      </c>
      <c r="R31" s="291">
        <f t="shared" si="26"/>
        <v>6.855652173913044E-3</v>
      </c>
      <c r="S31" s="249">
        <f t="shared" si="27"/>
        <v>10.156521739130435</v>
      </c>
      <c r="T31" s="292">
        <f>SUM(S31/2000)</f>
        <v>5.0782608695652178E-3</v>
      </c>
    </row>
    <row r="32" spans="1:20" x14ac:dyDescent="0.25">
      <c r="A32" s="297" t="s">
        <v>682</v>
      </c>
      <c r="B32" s="247"/>
      <c r="C32" s="298">
        <v>450100</v>
      </c>
      <c r="D32" s="290">
        <f>C32/138000</f>
        <v>3.2615942028985505</v>
      </c>
      <c r="E32" s="249">
        <f t="shared" si="17"/>
        <v>6.085743391304347</v>
      </c>
      <c r="F32" s="249">
        <f>SUM(E32/2000)</f>
        <v>3.0428716956521734E-3</v>
      </c>
      <c r="G32" s="249">
        <f>SUM(D32*$B$43/1000*8760)</f>
        <v>571.43130434782609</v>
      </c>
      <c r="H32" s="249">
        <f>SUM(G32/2000)</f>
        <v>0.28571565217391304</v>
      </c>
      <c r="I32" s="249">
        <f>SUM(D32*$B$44/1000*8760)</f>
        <v>142.85782608695652</v>
      </c>
      <c r="J32" s="249">
        <f>SUM(I32/2000)</f>
        <v>7.1428913043478259E-2</v>
      </c>
      <c r="K32" s="249">
        <f>SUM(D32*$B$45/1000*8760)</f>
        <v>9.7143321739130428</v>
      </c>
      <c r="L32" s="249">
        <f>SUM(K32/2000)</f>
        <v>4.8571660869565214E-3</v>
      </c>
      <c r="M32" s="249">
        <f>SUM(D32*$B$46/1000*8760)</f>
        <v>57.143130434782606</v>
      </c>
      <c r="N32" s="249">
        <f>SUM(M32/2000)</f>
        <v>2.8571565217391303E-2</v>
      </c>
      <c r="O32" s="249">
        <f t="shared" si="23"/>
        <v>23.714399130434781</v>
      </c>
      <c r="P32" s="291">
        <f>SUM(O32/2000)</f>
        <v>1.1857199565217391E-2</v>
      </c>
      <c r="Q32" s="249">
        <f t="shared" si="25"/>
        <v>30.857290434782612</v>
      </c>
      <c r="R32" s="291">
        <f>SUM(Q32/2000)</f>
        <v>1.5428645217391306E-2</v>
      </c>
      <c r="S32" s="249">
        <f t="shared" si="27"/>
        <v>22.857252173913043</v>
      </c>
      <c r="T32" s="292">
        <f>SUM(S32/2000)</f>
        <v>1.1428626086956521E-2</v>
      </c>
    </row>
    <row r="33" spans="1:20" x14ac:dyDescent="0.25">
      <c r="A33" s="96" t="s">
        <v>486</v>
      </c>
      <c r="B33" s="22"/>
      <c r="C33" s="248">
        <v>200000</v>
      </c>
      <c r="D33" s="290">
        <f>C33/138000</f>
        <v>1.4492753623188406</v>
      </c>
      <c r="E33" s="249">
        <f t="shared" si="17"/>
        <v>2.7041739130434781</v>
      </c>
      <c r="F33" s="249">
        <f t="shared" si="18"/>
        <v>1.3520869565217389E-3</v>
      </c>
      <c r="G33" s="249">
        <f>SUM(D33*$B$43/1000*8760)</f>
        <v>253.91304347826087</v>
      </c>
      <c r="H33" s="249">
        <f t="shared" si="19"/>
        <v>0.12695652173913044</v>
      </c>
      <c r="I33" s="249">
        <f>SUM(D33*$B$44/1000*8760)</f>
        <v>63.478260869565219</v>
      </c>
      <c r="J33" s="249">
        <f t="shared" si="20"/>
        <v>3.173913043478261E-2</v>
      </c>
      <c r="K33" s="249">
        <f>SUM(D33*$B$45/1000*8760)</f>
        <v>4.3165217391304349</v>
      </c>
      <c r="L33" s="249">
        <f t="shared" si="21"/>
        <v>2.1582608695652175E-3</v>
      </c>
      <c r="M33" s="249">
        <f>SUM(D33*$B$46/1000*8760)</f>
        <v>25.391304347826086</v>
      </c>
      <c r="N33" s="249">
        <f t="shared" si="22"/>
        <v>1.2695652173913044E-2</v>
      </c>
      <c r="O33" s="249">
        <f t="shared" si="23"/>
        <v>10.537391304347826</v>
      </c>
      <c r="P33" s="291">
        <f t="shared" si="24"/>
        <v>5.2686956521739133E-3</v>
      </c>
      <c r="Q33" s="249">
        <f t="shared" si="25"/>
        <v>13.711304347826088</v>
      </c>
      <c r="R33" s="291">
        <f t="shared" si="26"/>
        <v>6.855652173913044E-3</v>
      </c>
      <c r="S33" s="249">
        <f t="shared" si="27"/>
        <v>10.156521739130435</v>
      </c>
      <c r="T33" s="292">
        <f>SUM(S33/2000)</f>
        <v>5.0782608695652178E-3</v>
      </c>
    </row>
    <row r="34" spans="1:20" x14ac:dyDescent="0.25">
      <c r="A34" s="96"/>
      <c r="B34" s="22"/>
      <c r="C34" s="248"/>
      <c r="D34" s="290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91"/>
      <c r="Q34" s="249"/>
      <c r="R34" s="291"/>
      <c r="S34" s="249"/>
      <c r="T34" s="292"/>
    </row>
    <row r="35" spans="1:20" x14ac:dyDescent="0.25">
      <c r="A35" s="96"/>
      <c r="B35" s="22"/>
      <c r="C35" s="248"/>
      <c r="D35" s="290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2"/>
      <c r="Q35" s="22"/>
      <c r="R35" s="22"/>
      <c r="S35" s="22"/>
      <c r="T35" s="97"/>
    </row>
    <row r="36" spans="1:20" x14ac:dyDescent="0.25">
      <c r="A36" s="96" t="s">
        <v>332</v>
      </c>
      <c r="B36" s="22" t="s">
        <v>328</v>
      </c>
      <c r="C36" s="248">
        <v>80000</v>
      </c>
      <c r="D36" s="290">
        <f>SUM(C36/91000)</f>
        <v>0.87912087912087911</v>
      </c>
      <c r="E36" s="249">
        <f>SUM(D36*0.6*2.5/10^6*8760)</f>
        <v>1.1551648351648352E-2</v>
      </c>
      <c r="F36" s="291">
        <f>SUM(E36/2000)</f>
        <v>5.7758241758241757E-6</v>
      </c>
      <c r="G36" s="249">
        <f>SUM(D36*94*2.5/10^6*8760)</f>
        <v>1.8097582417582418</v>
      </c>
      <c r="H36" s="249">
        <f>SUM(G36/2000)</f>
        <v>9.0487912087912088E-4</v>
      </c>
      <c r="I36" s="249">
        <f>SUM(D36*40*2.5/10^6*8760)</f>
        <v>0.77010989010989006</v>
      </c>
      <c r="J36" s="249">
        <f>SUM(I36/2000)</f>
        <v>3.8505494505494502E-4</v>
      </c>
      <c r="K36" s="249">
        <f>SUM(D36*5.5*2.5/10^6*8760)</f>
        <v>0.10589010989010988</v>
      </c>
      <c r="L36" s="249">
        <f>SUM(K36/2000)</f>
        <v>5.2945054945054944E-5</v>
      </c>
      <c r="M36" s="249">
        <f>SUM(D36*7.6*2.5/10^6*8760)</f>
        <v>0.1463208791208791</v>
      </c>
      <c r="N36" s="291">
        <f>SUM(M36/2000)</f>
        <v>7.3160439560439544E-5</v>
      </c>
      <c r="O36" s="249">
        <f>SUM(D36*1.9*2.5/10^6*8760)</f>
        <v>3.6580219780219775E-2</v>
      </c>
      <c r="P36" s="291">
        <f>SUM(O36/2000)</f>
        <v>1.8290109890109886E-5</v>
      </c>
      <c r="Q36" s="250">
        <f>SUM(D36*1.9*2.5/10^6*8760)</f>
        <v>3.6580219780219775E-2</v>
      </c>
      <c r="R36" s="291">
        <f>SUM(Q36/2000)</f>
        <v>1.8290109890109886E-5</v>
      </c>
      <c r="S36" s="249">
        <f>SUM(D36*3.2*2.5/10^6*8760)</f>
        <v>6.1608791208791217E-2</v>
      </c>
      <c r="T36" s="292">
        <f>SUM(S36/2000)</f>
        <v>3.0804395604395608E-5</v>
      </c>
    </row>
    <row r="37" spans="1:20" x14ac:dyDescent="0.25">
      <c r="A37" s="96"/>
      <c r="B37" s="22"/>
      <c r="C37" s="22"/>
      <c r="D37" s="22"/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2"/>
      <c r="Q37" s="22"/>
      <c r="R37" s="22"/>
      <c r="S37" s="22"/>
      <c r="T37" s="97"/>
    </row>
    <row r="38" spans="1:20" ht="15.75" thickBot="1" x14ac:dyDescent="0.3">
      <c r="A38" s="293" t="s">
        <v>333</v>
      </c>
      <c r="B38" s="294"/>
      <c r="C38" s="295">
        <f t="shared" ref="C38:T38" si="28">SUM(C27:C33)</f>
        <v>2440300</v>
      </c>
      <c r="D38" s="295">
        <f t="shared" si="28"/>
        <v>17.543561076604554</v>
      </c>
      <c r="E38" s="723">
        <f t="shared" si="28"/>
        <v>32.734179741614902</v>
      </c>
      <c r="F38" s="723">
        <f t="shared" si="28"/>
        <v>1.6367089870807452E-2</v>
      </c>
      <c r="G38" s="723">
        <f t="shared" si="28"/>
        <v>3073.6319006211179</v>
      </c>
      <c r="H38" s="723">
        <f t="shared" si="28"/>
        <v>1.536815950310559</v>
      </c>
      <c r="I38" s="723">
        <f t="shared" si="28"/>
        <v>768.40797515527947</v>
      </c>
      <c r="J38" s="723">
        <f t="shared" si="28"/>
        <v>0.38420398757763974</v>
      </c>
      <c r="K38" s="723">
        <f t="shared" si="28"/>
        <v>52.251742310559017</v>
      </c>
      <c r="L38" s="723">
        <f t="shared" si="28"/>
        <v>2.6125871155279503E-2</v>
      </c>
      <c r="M38" s="723">
        <f t="shared" si="28"/>
        <v>307.36319006211181</v>
      </c>
      <c r="N38" s="723">
        <f t="shared" si="28"/>
        <v>0.15368159503105591</v>
      </c>
      <c r="O38" s="723">
        <f t="shared" si="28"/>
        <v>127.55572387577638</v>
      </c>
      <c r="P38" s="795">
        <f t="shared" si="28"/>
        <v>6.3777861937888203E-2</v>
      </c>
      <c r="Q38" s="295">
        <f t="shared" si="28"/>
        <v>165.97612263354037</v>
      </c>
      <c r="R38" s="795">
        <f t="shared" si="28"/>
        <v>8.2988061316770181E-2</v>
      </c>
      <c r="S38" s="295">
        <f t="shared" si="28"/>
        <v>122.94527602484473</v>
      </c>
      <c r="T38" s="795">
        <f t="shared" si="28"/>
        <v>6.1472638012422372E-2</v>
      </c>
    </row>
    <row r="41" spans="1:20" x14ac:dyDescent="0.25">
      <c r="A41" t="s">
        <v>460</v>
      </c>
      <c r="E41">
        <f>D38*8760</f>
        <v>153681.59503105588</v>
      </c>
    </row>
    <row r="42" spans="1:20" x14ac:dyDescent="0.25">
      <c r="A42" s="6" t="s">
        <v>218</v>
      </c>
      <c r="B42" s="6">
        <v>0.21299999999999999</v>
      </c>
      <c r="C42" t="s">
        <v>63</v>
      </c>
    </row>
    <row r="43" spans="1:20" x14ac:dyDescent="0.25">
      <c r="A43" s="6" t="s">
        <v>12</v>
      </c>
      <c r="B43">
        <v>20</v>
      </c>
      <c r="C43" t="s">
        <v>63</v>
      </c>
      <c r="E43" s="6"/>
      <c r="F43" s="6"/>
      <c r="G43" s="6"/>
      <c r="H43" s="6"/>
      <c r="I43" s="6"/>
      <c r="J43" s="6"/>
      <c r="K43" s="6"/>
      <c r="L43" s="6"/>
      <c r="M43" s="6"/>
    </row>
    <row r="44" spans="1:20" x14ac:dyDescent="0.25">
      <c r="A44" s="6" t="s">
        <v>1</v>
      </c>
      <c r="B44">
        <v>5</v>
      </c>
      <c r="C44" t="s">
        <v>63</v>
      </c>
    </row>
    <row r="45" spans="1:20" x14ac:dyDescent="0.25">
      <c r="A45" s="6" t="s">
        <v>2</v>
      </c>
      <c r="B45">
        <v>0.34</v>
      </c>
      <c r="C45" t="s">
        <v>63</v>
      </c>
    </row>
    <row r="46" spans="1:20" x14ac:dyDescent="0.25">
      <c r="A46" s="6" t="s">
        <v>4</v>
      </c>
      <c r="B46">
        <v>2</v>
      </c>
      <c r="C46" t="s">
        <v>63</v>
      </c>
    </row>
    <row r="47" spans="1:20" x14ac:dyDescent="0.25">
      <c r="A47" s="6" t="s">
        <v>61</v>
      </c>
      <c r="B47">
        <v>0.83</v>
      </c>
      <c r="C47" t="s">
        <v>63</v>
      </c>
    </row>
    <row r="48" spans="1:20" x14ac:dyDescent="0.25">
      <c r="A48" s="6" t="s">
        <v>60</v>
      </c>
      <c r="B48">
        <v>1.08</v>
      </c>
      <c r="C48" t="s">
        <v>63</v>
      </c>
    </row>
    <row r="49" spans="1:4" x14ac:dyDescent="0.25">
      <c r="A49" s="6" t="s">
        <v>102</v>
      </c>
      <c r="B49">
        <v>0.8</v>
      </c>
      <c r="C49" t="s">
        <v>63</v>
      </c>
    </row>
    <row r="50" spans="1:4" x14ac:dyDescent="0.25">
      <c r="A50" t="s">
        <v>266</v>
      </c>
      <c r="C50" s="18">
        <f>SUM((G38+'Small Boilers - NG1'!W62)/5/52)</f>
        <v>11.82166115623507</v>
      </c>
      <c r="D50" t="s">
        <v>267</v>
      </c>
    </row>
    <row r="52" spans="1:4" x14ac:dyDescent="0.25">
      <c r="A52" t="s">
        <v>335</v>
      </c>
    </row>
    <row r="53" spans="1:4" x14ac:dyDescent="0.25">
      <c r="A53" t="s">
        <v>334</v>
      </c>
      <c r="D53" s="20"/>
    </row>
    <row r="54" spans="1:4" x14ac:dyDescent="0.25">
      <c r="A54" s="20"/>
      <c r="B54" s="20"/>
      <c r="C54" s="20"/>
      <c r="D54" s="20"/>
    </row>
    <row r="55" spans="1:4" x14ac:dyDescent="0.25">
      <c r="A55" s="9" t="s">
        <v>563</v>
      </c>
    </row>
    <row r="56" spans="1:4" x14ac:dyDescent="0.25">
      <c r="A56">
        <v>33480</v>
      </c>
      <c r="B56" t="s">
        <v>564</v>
      </c>
      <c r="C56" s="2"/>
      <c r="D56" s="246"/>
    </row>
    <row r="57" spans="1:4" x14ac:dyDescent="0.25">
      <c r="C57" s="2"/>
      <c r="D57" s="246"/>
    </row>
    <row r="58" spans="1:4" x14ac:dyDescent="0.25">
      <c r="A58" s="9">
        <v>150</v>
      </c>
      <c r="B58" s="9" t="s">
        <v>561</v>
      </c>
      <c r="C58" s="2"/>
      <c r="D58" s="246"/>
    </row>
    <row r="59" spans="1:4" x14ac:dyDescent="0.25">
      <c r="B59">
        <f>A58*0.03348</f>
        <v>5.0220000000000002</v>
      </c>
      <c r="C59" t="s">
        <v>9</v>
      </c>
    </row>
    <row r="60" spans="1:4" x14ac:dyDescent="0.25">
      <c r="A60" s="6" t="s">
        <v>562</v>
      </c>
      <c r="B60">
        <f>B59/0.8</f>
        <v>6.2774999999999999</v>
      </c>
      <c r="C60" t="s">
        <v>9</v>
      </c>
    </row>
    <row r="61" spans="1:4" x14ac:dyDescent="0.25">
      <c r="A61" s="6"/>
    </row>
    <row r="62" spans="1:4" x14ac:dyDescent="0.25">
      <c r="A62" s="9">
        <v>20</v>
      </c>
      <c r="B62" s="9" t="s">
        <v>561</v>
      </c>
    </row>
    <row r="63" spans="1:4" x14ac:dyDescent="0.25">
      <c r="B63">
        <f>A62*0.03348</f>
        <v>0.66960000000000008</v>
      </c>
      <c r="C63" t="s">
        <v>9</v>
      </c>
    </row>
    <row r="64" spans="1:4" x14ac:dyDescent="0.25">
      <c r="A64" s="6" t="s">
        <v>562</v>
      </c>
      <c r="B64">
        <f>B63/0.8</f>
        <v>0.83700000000000008</v>
      </c>
      <c r="C64" t="s">
        <v>9</v>
      </c>
    </row>
  </sheetData>
  <mergeCells count="19">
    <mergeCell ref="A1:T1"/>
    <mergeCell ref="A2:T2"/>
    <mergeCell ref="A4:T4"/>
    <mergeCell ref="E5:F5"/>
    <mergeCell ref="G5:H5"/>
    <mergeCell ref="I5:J5"/>
    <mergeCell ref="K5:L5"/>
    <mergeCell ref="M5:N5"/>
    <mergeCell ref="O5:P5"/>
    <mergeCell ref="S5:T5"/>
    <mergeCell ref="Q5:R5"/>
    <mergeCell ref="Q24:R24"/>
    <mergeCell ref="O24:P24"/>
    <mergeCell ref="S24:T24"/>
    <mergeCell ref="E24:F24"/>
    <mergeCell ref="G24:H24"/>
    <mergeCell ref="I24:J24"/>
    <mergeCell ref="K24:L24"/>
    <mergeCell ref="M24:N24"/>
  </mergeCells>
  <pageMargins left="0.7" right="0.7" top="0.75" bottom="0.75" header="0.3" footer="0.3"/>
  <pageSetup scale="6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topLeftCell="B6" zoomScale="70" zoomScaleNormal="70" workbookViewId="0">
      <selection activeCell="D26" sqref="D26"/>
    </sheetView>
  </sheetViews>
  <sheetFormatPr defaultRowHeight="15" x14ac:dyDescent="0.25"/>
  <cols>
    <col min="1" max="1" width="40.5703125" customWidth="1"/>
    <col min="2" max="2" width="12.7109375" customWidth="1"/>
    <col min="3" max="3" width="16" customWidth="1"/>
    <col min="4" max="4" width="10.42578125" customWidth="1"/>
    <col min="5" max="5" width="10.85546875" customWidth="1"/>
    <col min="6" max="6" width="12.7109375" style="670" customWidth="1"/>
    <col min="7" max="7" width="12.140625" customWidth="1"/>
    <col min="8" max="8" width="9.140625" customWidth="1"/>
    <col min="9" max="9" width="12.5703125" customWidth="1"/>
    <col min="10" max="10" width="10" customWidth="1"/>
    <col min="11" max="11" width="10.7109375" customWidth="1"/>
    <col min="12" max="14" width="9.140625" customWidth="1"/>
    <col min="15" max="15" width="9.5703125" customWidth="1"/>
    <col min="16" max="16" width="12.5703125" customWidth="1"/>
  </cols>
  <sheetData>
    <row r="1" spans="1:23" x14ac:dyDescent="0.25">
      <c r="A1" s="1264" t="s">
        <v>566</v>
      </c>
      <c r="B1" s="1264"/>
      <c r="C1" s="1264"/>
      <c r="D1" s="1264"/>
      <c r="E1" s="1264"/>
      <c r="F1" s="1264"/>
      <c r="G1" s="1264"/>
      <c r="H1" s="1264"/>
      <c r="I1" s="1264"/>
      <c r="J1" s="1264"/>
      <c r="K1" s="1264"/>
      <c r="L1" s="1264"/>
      <c r="M1" s="1264"/>
      <c r="N1" s="1264"/>
      <c r="O1" s="443"/>
      <c r="P1" s="443"/>
      <c r="Q1" s="443"/>
      <c r="R1" s="443"/>
    </row>
    <row r="2" spans="1:23" x14ac:dyDescent="0.25">
      <c r="A2" s="1264" t="s">
        <v>1003</v>
      </c>
      <c r="B2" s="1264"/>
      <c r="C2" s="1264"/>
      <c r="D2" s="1264"/>
      <c r="E2" s="1264"/>
      <c r="F2" s="1264"/>
      <c r="G2" s="1264"/>
      <c r="H2" s="1264"/>
      <c r="I2" s="1264"/>
      <c r="J2" s="1264"/>
      <c r="K2" s="1264"/>
      <c r="L2" s="1264"/>
      <c r="M2" s="1264"/>
      <c r="N2" s="1264"/>
      <c r="O2" s="443"/>
      <c r="P2" s="443"/>
      <c r="Q2" s="443"/>
      <c r="R2" s="443"/>
    </row>
    <row r="3" spans="1:23" s="981" customFormat="1" x14ac:dyDescent="0.25">
      <c r="A3" s="980"/>
      <c r="B3" s="980"/>
      <c r="C3" s="980"/>
      <c r="D3" s="980"/>
      <c r="E3" s="980"/>
      <c r="F3" s="980"/>
      <c r="G3" s="980"/>
      <c r="H3" s="980"/>
      <c r="I3" s="980"/>
      <c r="J3" s="980"/>
      <c r="K3" s="980"/>
      <c r="L3" s="980"/>
      <c r="M3" s="980"/>
      <c r="N3" s="980"/>
      <c r="O3" s="443"/>
      <c r="P3" s="443"/>
      <c r="Q3" s="443"/>
      <c r="R3" s="443"/>
    </row>
    <row r="4" spans="1:23" s="981" customFormat="1" x14ac:dyDescent="0.25">
      <c r="F4" s="670"/>
    </row>
    <row r="5" spans="1:23" ht="15.75" thickBot="1" x14ac:dyDescent="0.3"/>
    <row r="6" spans="1:23" x14ac:dyDescent="0.25">
      <c r="A6" s="528" t="s">
        <v>384</v>
      </c>
      <c r="B6" s="633"/>
      <c r="C6" s="633"/>
      <c r="D6" s="634" t="s">
        <v>385</v>
      </c>
      <c r="E6" s="521" t="s">
        <v>386</v>
      </c>
      <c r="F6" s="1226" t="s">
        <v>209</v>
      </c>
      <c r="G6" s="1236"/>
      <c r="H6" s="1236"/>
      <c r="I6" s="1236"/>
      <c r="J6" s="1236"/>
      <c r="K6" s="1236"/>
      <c r="L6" s="1236"/>
      <c r="M6" s="1236"/>
      <c r="N6" s="1237"/>
      <c r="O6" s="1226" t="s">
        <v>837</v>
      </c>
      <c r="P6" s="1236"/>
      <c r="Q6" s="1236"/>
      <c r="R6" s="1236"/>
      <c r="S6" s="1236"/>
      <c r="T6" s="1236"/>
      <c r="U6" s="1236"/>
      <c r="V6" s="1236"/>
      <c r="W6" s="1237"/>
    </row>
    <row r="7" spans="1:23" ht="15.75" x14ac:dyDescent="0.3">
      <c r="A7" s="522" t="s">
        <v>387</v>
      </c>
      <c r="B7" s="455" t="s">
        <v>252</v>
      </c>
      <c r="C7" s="455" t="s">
        <v>388</v>
      </c>
      <c r="D7" s="455" t="s">
        <v>389</v>
      </c>
      <c r="E7" s="450" t="s">
        <v>191</v>
      </c>
      <c r="F7" s="714" t="s">
        <v>824</v>
      </c>
      <c r="G7" s="449" t="s">
        <v>390</v>
      </c>
      <c r="H7" s="455" t="s">
        <v>4</v>
      </c>
      <c r="I7" s="455" t="s">
        <v>218</v>
      </c>
      <c r="J7" s="455" t="s">
        <v>391</v>
      </c>
      <c r="K7" s="455" t="s">
        <v>1</v>
      </c>
      <c r="L7" s="455" t="s">
        <v>392</v>
      </c>
      <c r="M7" s="455" t="s">
        <v>61</v>
      </c>
      <c r="N7" s="450" t="s">
        <v>393</v>
      </c>
      <c r="O7" s="522" t="s">
        <v>824</v>
      </c>
      <c r="P7" s="449" t="s">
        <v>390</v>
      </c>
      <c r="Q7" s="455" t="s">
        <v>4</v>
      </c>
      <c r="R7" s="455" t="s">
        <v>218</v>
      </c>
      <c r="S7" s="455" t="s">
        <v>391</v>
      </c>
      <c r="T7" s="455" t="s">
        <v>1</v>
      </c>
      <c r="U7" s="455" t="s">
        <v>392</v>
      </c>
      <c r="V7" s="455" t="s">
        <v>61</v>
      </c>
      <c r="W7" s="450" t="s">
        <v>393</v>
      </c>
    </row>
    <row r="8" spans="1:23" x14ac:dyDescent="0.25">
      <c r="A8" s="635"/>
      <c r="B8" s="456"/>
      <c r="C8" s="456"/>
      <c r="D8" s="456"/>
      <c r="E8" s="636"/>
      <c r="F8" s="715" t="s">
        <v>394</v>
      </c>
      <c r="G8" s="457" t="s">
        <v>395</v>
      </c>
      <c r="H8" s="458" t="s">
        <v>254</v>
      </c>
      <c r="I8" s="458" t="s">
        <v>254</v>
      </c>
      <c r="J8" s="458" t="s">
        <v>254</v>
      </c>
      <c r="K8" s="458" t="s">
        <v>254</v>
      </c>
      <c r="L8" s="458" t="s">
        <v>254</v>
      </c>
      <c r="M8" s="458" t="s">
        <v>254</v>
      </c>
      <c r="N8" s="524" t="s">
        <v>254</v>
      </c>
      <c r="O8" s="523" t="s">
        <v>394</v>
      </c>
      <c r="P8" s="457" t="s">
        <v>395</v>
      </c>
      <c r="Q8" s="458" t="s">
        <v>254</v>
      </c>
      <c r="R8" s="458" t="s">
        <v>254</v>
      </c>
      <c r="S8" s="458" t="s">
        <v>254</v>
      </c>
      <c r="T8" s="458" t="s">
        <v>254</v>
      </c>
      <c r="U8" s="458" t="s">
        <v>254</v>
      </c>
      <c r="V8" s="458" t="s">
        <v>254</v>
      </c>
      <c r="W8" s="524" t="s">
        <v>254</v>
      </c>
    </row>
    <row r="9" spans="1:23" x14ac:dyDescent="0.25">
      <c r="A9" s="354" t="s">
        <v>574</v>
      </c>
      <c r="B9" s="441"/>
      <c r="C9" s="441"/>
      <c r="D9" s="441"/>
      <c r="E9" s="526"/>
      <c r="F9" s="716"/>
      <c r="G9" s="441"/>
      <c r="H9" s="441"/>
      <c r="I9" s="441"/>
      <c r="J9" s="441"/>
      <c r="K9" s="441"/>
      <c r="L9" s="441"/>
      <c r="M9" s="441"/>
      <c r="N9" s="526"/>
      <c r="O9" s="525"/>
      <c r="P9" s="441"/>
      <c r="Q9" s="441"/>
      <c r="R9" s="441"/>
      <c r="S9" s="441"/>
      <c r="T9" s="441"/>
      <c r="U9" s="441"/>
      <c r="V9" s="441"/>
      <c r="W9" s="526"/>
    </row>
    <row r="10" spans="1:23" x14ac:dyDescent="0.25">
      <c r="A10" s="96" t="s">
        <v>397</v>
      </c>
      <c r="B10" s="459" t="s">
        <v>396</v>
      </c>
      <c r="C10" s="460"/>
      <c r="D10" s="22">
        <v>250</v>
      </c>
      <c r="E10" s="527">
        <f t="shared" ref="E10:E21" si="0">SUM(D10*1.341*7000/1000000)</f>
        <v>2.3467500000000001</v>
      </c>
      <c r="F10" s="717">
        <f>'EGenerator Raw Data'!H65</f>
        <v>3</v>
      </c>
      <c r="G10" s="106">
        <f t="shared" ref="G10:G21" si="1">SUM(E10*F10)</f>
        <v>7.0402500000000003</v>
      </c>
      <c r="H10" s="461">
        <f t="shared" ref="H10:H21" si="2">SUM(E10*$E$30*F10/2000)</f>
        <v>1.6896599999999999E-4</v>
      </c>
      <c r="I10" s="500">
        <f t="shared" ref="I10:I21" si="3">SUM(E10*$E$31*F10/2000)</f>
        <v>2.1120749999999996E-6</v>
      </c>
      <c r="J10" s="250">
        <f t="shared" ref="J10:J20" si="4">SUM(D10/0.9*1.341*$C$32/453.6/2000*F10)</f>
        <v>6.1590608465608467E-3</v>
      </c>
      <c r="K10" s="250">
        <f t="shared" ref="K10:K16" si="5">SUM(D10/0.9*1.341*$C$33/453.5/2000*F10)</f>
        <v>3.1541345093715548E-2</v>
      </c>
      <c r="L10" s="250">
        <f t="shared" ref="L10:L20" si="6">SUM(D10/0.9*1.341*$C$34/453.6/2000*F10)</f>
        <v>4.927248677248677E-4</v>
      </c>
      <c r="M10" s="250">
        <f t="shared" ref="M10:M21" si="7">SUM(E10*0.0095*F10/2000)</f>
        <v>3.3441187500000003E-5</v>
      </c>
      <c r="N10" s="529">
        <f t="shared" ref="N10:N21" si="8">SUM(E10*0.018*F10/2000)</f>
        <v>6.3362250000000012E-5</v>
      </c>
      <c r="O10" s="96">
        <v>300</v>
      </c>
      <c r="P10" s="106">
        <f t="shared" ref="P10:P21" si="9">SUM(E10*O10)</f>
        <v>704.02500000000009</v>
      </c>
      <c r="Q10" s="463">
        <f t="shared" ref="Q10:Q21" si="10">SUM(E10*$E$30*O10/2000)</f>
        <v>1.6896600000000005E-2</v>
      </c>
      <c r="R10" s="463">
        <f t="shared" ref="R10:R21" si="11">SUM(E10*$E$31*O10/2000)</f>
        <v>2.1120749999999999E-4</v>
      </c>
      <c r="S10" s="249">
        <f>SUM(D10/0.9*1.341*$D$32/453.6/2000*O10)</f>
        <v>2.1002397486772484</v>
      </c>
      <c r="T10" s="249">
        <f>SUM(D10/0.9*1.341*$D$33/453.5/2000*O10)</f>
        <v>0.13552921719955902</v>
      </c>
      <c r="U10" s="249">
        <f>SUM(D10/0.9*1.341*$D$34/453.6/2000*O10)</f>
        <v>0.46808862433862436</v>
      </c>
      <c r="V10" s="249">
        <f>SUM(E10*0.0095*O10/2000)</f>
        <v>3.3441187500000001E-3</v>
      </c>
      <c r="W10" s="527">
        <f>SUM(E10*0.018*O10/2000)</f>
        <v>6.336225E-3</v>
      </c>
    </row>
    <row r="11" spans="1:23" x14ac:dyDescent="0.25">
      <c r="A11" s="96" t="s">
        <v>659</v>
      </c>
      <c r="B11" s="459" t="s">
        <v>528</v>
      </c>
      <c r="C11" s="460" t="s">
        <v>660</v>
      </c>
      <c r="D11" s="22">
        <v>25</v>
      </c>
      <c r="E11" s="527">
        <f t="shared" si="0"/>
        <v>0.23467499999999999</v>
      </c>
      <c r="F11" s="717">
        <f>'EGenerator Raw Data'!H75</f>
        <v>0.39999999999999858</v>
      </c>
      <c r="G11" s="106">
        <f t="shared" si="1"/>
        <v>9.3869999999999662E-2</v>
      </c>
      <c r="H11" s="461">
        <f t="shared" si="2"/>
        <v>2.2528799999999923E-6</v>
      </c>
      <c r="I11" s="500">
        <f t="shared" si="3"/>
        <v>2.8160999999999894E-8</v>
      </c>
      <c r="J11" s="250">
        <f t="shared" si="4"/>
        <v>8.2120811287477648E-5</v>
      </c>
      <c r="K11" s="250">
        <f t="shared" si="5"/>
        <v>4.2055126791620579E-4</v>
      </c>
      <c r="L11" s="250">
        <f t="shared" si="6"/>
        <v>6.569664902998213E-6</v>
      </c>
      <c r="M11" s="250">
        <f t="shared" si="7"/>
        <v>4.4588249999999834E-7</v>
      </c>
      <c r="N11" s="529">
        <f t="shared" si="8"/>
        <v>8.4482999999999696E-7</v>
      </c>
      <c r="O11" s="96">
        <v>300</v>
      </c>
      <c r="P11" s="106">
        <f t="shared" si="9"/>
        <v>70.402500000000003</v>
      </c>
      <c r="Q11" s="463">
        <f t="shared" si="10"/>
        <v>1.6896600000000002E-3</v>
      </c>
      <c r="R11" s="463">
        <f t="shared" si="11"/>
        <v>2.1120749999999996E-5</v>
      </c>
      <c r="S11" s="249">
        <f t="shared" ref="S11:S21" si="12">SUM(D11/0.9*1.341*$C$32/453.6/2000*O11)</f>
        <v>6.159060846560846E-2</v>
      </c>
      <c r="T11" s="249">
        <f t="shared" ref="T11:T21" si="13">SUM(D11/0.9*1.341*$C$33/453.5/2000*O11)</f>
        <v>0.31541345093715545</v>
      </c>
      <c r="U11" s="249">
        <f t="shared" ref="U11:U21" si="14">SUM(D11/0.9*1.341*$C$34/453.6/2000*O11)</f>
        <v>4.9272486772486768E-3</v>
      </c>
      <c r="V11" s="249">
        <f t="shared" ref="V11:V21" si="15">SUM(E11*0.0095*O11/2000)</f>
        <v>3.3441187499999998E-4</v>
      </c>
      <c r="W11" s="527">
        <f t="shared" ref="W11:W21" si="16">SUM(E11*0.018*O11/2000)</f>
        <v>6.3362249999999987E-4</v>
      </c>
    </row>
    <row r="12" spans="1:23" x14ac:dyDescent="0.25">
      <c r="A12" s="96" t="s">
        <v>403</v>
      </c>
      <c r="B12" s="459" t="s">
        <v>401</v>
      </c>
      <c r="C12" s="460" t="s">
        <v>661</v>
      </c>
      <c r="D12" s="22">
        <v>10</v>
      </c>
      <c r="E12" s="527">
        <f t="shared" si="0"/>
        <v>9.3869999999999995E-2</v>
      </c>
      <c r="F12" s="717">
        <f>'EGenerator Raw Data'!H66</f>
        <v>4.2000000000000171</v>
      </c>
      <c r="G12" s="106">
        <f t="shared" si="1"/>
        <v>0.3942540000000016</v>
      </c>
      <c r="H12" s="461">
        <f t="shared" si="2"/>
        <v>9.4620960000000384E-6</v>
      </c>
      <c r="I12" s="500">
        <f t="shared" si="3"/>
        <v>1.1827620000000047E-7</v>
      </c>
      <c r="J12" s="250">
        <f t="shared" si="4"/>
        <v>3.4490740740740879E-4</v>
      </c>
      <c r="K12" s="250">
        <f t="shared" si="5"/>
        <v>1.7663153252480779E-3</v>
      </c>
      <c r="L12" s="250">
        <f t="shared" si="6"/>
        <v>2.7592592592592705E-5</v>
      </c>
      <c r="M12" s="250">
        <f t="shared" si="7"/>
        <v>1.8727065000000076E-6</v>
      </c>
      <c r="N12" s="529">
        <f t="shared" si="8"/>
        <v>3.5482860000000136E-6</v>
      </c>
      <c r="O12" s="96">
        <v>300</v>
      </c>
      <c r="P12" s="106">
        <f t="shared" si="9"/>
        <v>28.160999999999998</v>
      </c>
      <c r="Q12" s="463">
        <f t="shared" si="10"/>
        <v>6.7586399999999998E-4</v>
      </c>
      <c r="R12" s="463">
        <f t="shared" si="11"/>
        <v>8.4482999999999984E-6</v>
      </c>
      <c r="S12" s="249">
        <f t="shared" si="12"/>
        <v>2.4636243386243383E-2</v>
      </c>
      <c r="T12" s="249">
        <f t="shared" si="13"/>
        <v>0.12616538037486219</v>
      </c>
      <c r="U12" s="249">
        <f t="shared" si="14"/>
        <v>1.9708994708994708E-3</v>
      </c>
      <c r="V12" s="249">
        <f t="shared" si="15"/>
        <v>1.3376474999999999E-4</v>
      </c>
      <c r="W12" s="527">
        <f t="shared" si="16"/>
        <v>2.5344899999999999E-4</v>
      </c>
    </row>
    <row r="13" spans="1:23" x14ac:dyDescent="0.25">
      <c r="A13" s="96" t="s">
        <v>400</v>
      </c>
      <c r="B13" s="459" t="s">
        <v>401</v>
      </c>
      <c r="C13" s="460" t="s">
        <v>662</v>
      </c>
      <c r="D13" s="22">
        <v>12</v>
      </c>
      <c r="E13" s="527">
        <f t="shared" si="0"/>
        <v>0.11264399999999998</v>
      </c>
      <c r="F13" s="717">
        <f>'EGenerator Raw Data'!H67</f>
        <v>2.5999999999999943</v>
      </c>
      <c r="G13" s="106">
        <f t="shared" si="1"/>
        <v>0.29287439999999931</v>
      </c>
      <c r="H13" s="461">
        <f t="shared" si="2"/>
        <v>7.0289855999999833E-6</v>
      </c>
      <c r="I13" s="500">
        <f t="shared" si="3"/>
        <v>8.7862319999999781E-8</v>
      </c>
      <c r="J13" s="250">
        <f t="shared" si="4"/>
        <v>2.5621693121693063E-4</v>
      </c>
      <c r="K13" s="250">
        <f t="shared" si="5"/>
        <v>1.3121199558985639E-3</v>
      </c>
      <c r="L13" s="250">
        <f t="shared" si="6"/>
        <v>2.0497354497354449E-5</v>
      </c>
      <c r="M13" s="250">
        <f t="shared" si="7"/>
        <v>1.3911533999999969E-6</v>
      </c>
      <c r="N13" s="529">
        <f t="shared" si="8"/>
        <v>2.6358695999999935E-6</v>
      </c>
      <c r="O13" s="96">
        <v>300</v>
      </c>
      <c r="P13" s="106">
        <f t="shared" si="9"/>
        <v>33.793199999999992</v>
      </c>
      <c r="Q13" s="463">
        <f t="shared" si="10"/>
        <v>8.1103679999999984E-4</v>
      </c>
      <c r="R13" s="463">
        <f t="shared" si="11"/>
        <v>1.0137959999999997E-5</v>
      </c>
      <c r="S13" s="249">
        <f t="shared" si="12"/>
        <v>2.9563492063492059E-2</v>
      </c>
      <c r="T13" s="249">
        <f t="shared" si="13"/>
        <v>0.15139845644983463</v>
      </c>
      <c r="U13" s="249">
        <f t="shared" si="14"/>
        <v>2.3650793650793647E-3</v>
      </c>
      <c r="V13" s="249">
        <f t="shared" si="15"/>
        <v>1.6051769999999999E-4</v>
      </c>
      <c r="W13" s="527">
        <f t="shared" si="16"/>
        <v>3.0413879999999991E-4</v>
      </c>
    </row>
    <row r="14" spans="1:23" x14ac:dyDescent="0.25">
      <c r="A14" s="96" t="s">
        <v>668</v>
      </c>
      <c r="B14" s="459" t="s">
        <v>404</v>
      </c>
      <c r="C14" s="460"/>
      <c r="D14" s="22">
        <v>100</v>
      </c>
      <c r="E14" s="527">
        <f t="shared" si="0"/>
        <v>0.93869999999999998</v>
      </c>
      <c r="F14" s="717">
        <f>'EGenerator Raw Data'!H71</f>
        <v>76.300000000000011</v>
      </c>
      <c r="G14" s="106">
        <f t="shared" si="1"/>
        <v>71.622810000000015</v>
      </c>
      <c r="H14" s="461">
        <f t="shared" si="2"/>
        <v>1.7189474400000004E-3</v>
      </c>
      <c r="I14" s="500">
        <f t="shared" si="3"/>
        <v>2.1486843E-5</v>
      </c>
      <c r="J14" s="250">
        <f t="shared" si="4"/>
        <v>6.2658179012345674E-2</v>
      </c>
      <c r="K14" s="250">
        <f t="shared" si="5"/>
        <v>0.32088061742006618</v>
      </c>
      <c r="L14" s="250">
        <f t="shared" si="6"/>
        <v>5.0126543209876549E-3</v>
      </c>
      <c r="M14" s="250">
        <f t="shared" si="7"/>
        <v>3.4020834750000001E-4</v>
      </c>
      <c r="N14" s="529">
        <f t="shared" si="8"/>
        <v>6.4460528999999995E-4</v>
      </c>
      <c r="O14" s="96">
        <v>300</v>
      </c>
      <c r="P14" s="106">
        <f t="shared" si="9"/>
        <v>281.61</v>
      </c>
      <c r="Q14" s="463">
        <f t="shared" si="10"/>
        <v>6.7586400000000007E-3</v>
      </c>
      <c r="R14" s="463">
        <f t="shared" si="11"/>
        <v>8.4482999999999984E-5</v>
      </c>
      <c r="S14" s="249">
        <f t="shared" si="12"/>
        <v>0.24636243386243384</v>
      </c>
      <c r="T14" s="249">
        <f t="shared" si="13"/>
        <v>1.2616538037486218</v>
      </c>
      <c r="U14" s="249">
        <f t="shared" si="14"/>
        <v>1.9708994708994707E-2</v>
      </c>
      <c r="V14" s="249">
        <f t="shared" si="15"/>
        <v>1.3376474999999999E-3</v>
      </c>
      <c r="W14" s="527">
        <f t="shared" si="16"/>
        <v>2.5344899999999995E-3</v>
      </c>
    </row>
    <row r="15" spans="1:23" x14ac:dyDescent="0.25">
      <c r="A15" s="96" t="s">
        <v>823</v>
      </c>
      <c r="B15" s="459" t="s">
        <v>528</v>
      </c>
      <c r="C15" s="460"/>
      <c r="D15" s="22">
        <v>25</v>
      </c>
      <c r="E15" s="527">
        <f t="shared" si="0"/>
        <v>0.23467499999999999</v>
      </c>
      <c r="F15" s="717">
        <f>'EGenerator Raw Data'!H73</f>
        <v>0</v>
      </c>
      <c r="G15" s="106">
        <f t="shared" si="1"/>
        <v>0</v>
      </c>
      <c r="H15" s="461">
        <f t="shared" si="2"/>
        <v>0</v>
      </c>
      <c r="I15" s="500">
        <f t="shared" si="3"/>
        <v>0</v>
      </c>
      <c r="J15" s="250">
        <f t="shared" si="4"/>
        <v>0</v>
      </c>
      <c r="K15" s="250">
        <f t="shared" si="5"/>
        <v>0</v>
      </c>
      <c r="L15" s="250">
        <f t="shared" si="6"/>
        <v>0</v>
      </c>
      <c r="M15" s="250">
        <f t="shared" si="7"/>
        <v>0</v>
      </c>
      <c r="N15" s="529">
        <f t="shared" si="8"/>
        <v>0</v>
      </c>
      <c r="O15" s="96">
        <v>300</v>
      </c>
      <c r="P15" s="106">
        <f t="shared" si="9"/>
        <v>70.402500000000003</v>
      </c>
      <c r="Q15" s="463">
        <f t="shared" si="10"/>
        <v>1.6896600000000002E-3</v>
      </c>
      <c r="R15" s="463">
        <f t="shared" si="11"/>
        <v>2.1120749999999996E-5</v>
      </c>
      <c r="S15" s="249">
        <f t="shared" si="12"/>
        <v>6.159060846560846E-2</v>
      </c>
      <c r="T15" s="249">
        <f t="shared" si="13"/>
        <v>0.31541345093715545</v>
      </c>
      <c r="U15" s="249">
        <f t="shared" si="14"/>
        <v>4.9272486772486768E-3</v>
      </c>
      <c r="V15" s="249">
        <f t="shared" si="15"/>
        <v>3.3441187499999998E-4</v>
      </c>
      <c r="W15" s="527">
        <f t="shared" si="16"/>
        <v>6.3362249999999987E-4</v>
      </c>
    </row>
    <row r="16" spans="1:23" x14ac:dyDescent="0.25">
      <c r="A16" s="96" t="s">
        <v>663</v>
      </c>
      <c r="B16" s="459" t="s">
        <v>401</v>
      </c>
      <c r="C16" s="460" t="s">
        <v>402</v>
      </c>
      <c r="D16" s="22">
        <v>1</v>
      </c>
      <c r="E16" s="527">
        <f t="shared" si="0"/>
        <v>9.3869999999999995E-3</v>
      </c>
      <c r="F16" s="717">
        <f>'EGenerator Raw Data'!H68</f>
        <v>1</v>
      </c>
      <c r="G16" s="106">
        <f t="shared" si="1"/>
        <v>9.3869999999999995E-3</v>
      </c>
      <c r="H16" s="461">
        <f t="shared" si="2"/>
        <v>2.25288E-7</v>
      </c>
      <c r="I16" s="500">
        <f t="shared" si="3"/>
        <v>2.8160999999999994E-9</v>
      </c>
      <c r="J16" s="250">
        <f t="shared" si="4"/>
        <v>8.2120811287477953E-6</v>
      </c>
      <c r="K16" s="250">
        <f t="shared" si="5"/>
        <v>4.2055126791620724E-5</v>
      </c>
      <c r="L16" s="250">
        <f t="shared" si="6"/>
        <v>6.5696649029982352E-7</v>
      </c>
      <c r="M16" s="250">
        <f t="shared" si="7"/>
        <v>4.4588249999999996E-8</v>
      </c>
      <c r="N16" s="529">
        <f t="shared" si="8"/>
        <v>8.448299999999999E-8</v>
      </c>
      <c r="O16" s="96">
        <v>300</v>
      </c>
      <c r="P16" s="106">
        <f t="shared" si="9"/>
        <v>2.8161</v>
      </c>
      <c r="Q16" s="463">
        <f t="shared" si="10"/>
        <v>6.7586400000000001E-5</v>
      </c>
      <c r="R16" s="463">
        <f t="shared" si="11"/>
        <v>8.4482999999999982E-7</v>
      </c>
      <c r="S16" s="249">
        <f t="shared" si="12"/>
        <v>2.4636243386243384E-3</v>
      </c>
      <c r="T16" s="249">
        <f t="shared" si="13"/>
        <v>1.2616538037486217E-2</v>
      </c>
      <c r="U16" s="249">
        <f t="shared" si="14"/>
        <v>1.9708994708994706E-4</v>
      </c>
      <c r="V16" s="249">
        <f t="shared" si="15"/>
        <v>1.3376474999999998E-5</v>
      </c>
      <c r="W16" s="527">
        <f t="shared" si="16"/>
        <v>2.5344899999999995E-5</v>
      </c>
    </row>
    <row r="17" spans="1:23" x14ac:dyDescent="0.25">
      <c r="A17" s="96" t="s">
        <v>664</v>
      </c>
      <c r="B17" s="459" t="s">
        <v>398</v>
      </c>
      <c r="C17" s="460"/>
      <c r="D17" s="22">
        <v>200</v>
      </c>
      <c r="E17" s="527">
        <f t="shared" si="0"/>
        <v>1.8774</v>
      </c>
      <c r="F17" s="717">
        <f>'EGenerator Raw Data'!H70</f>
        <v>9.3999999999999915</v>
      </c>
      <c r="G17" s="106">
        <f t="shared" si="1"/>
        <v>17.647559999999984</v>
      </c>
      <c r="H17" s="461">
        <f t="shared" si="2"/>
        <v>4.2354143999999964E-4</v>
      </c>
      <c r="I17" s="500">
        <f t="shared" si="3"/>
        <v>5.2942679999999943E-6</v>
      </c>
      <c r="J17" s="250">
        <f t="shared" si="4"/>
        <v>1.5438712522045839E-2</v>
      </c>
      <c r="K17" s="250">
        <f>SUM(D17/0.9*1.341*$D$33/453.5/2000*F17)</f>
        <v>3.3972657111356087E-3</v>
      </c>
      <c r="L17" s="250">
        <f t="shared" si="6"/>
        <v>1.2350970017636672E-3</v>
      </c>
      <c r="M17" s="250">
        <f t="shared" si="7"/>
        <v>8.3825909999999919E-5</v>
      </c>
      <c r="N17" s="529">
        <f t="shared" si="8"/>
        <v>1.5882803999999983E-4</v>
      </c>
      <c r="O17" s="96">
        <v>300</v>
      </c>
      <c r="P17" s="106">
        <f t="shared" si="9"/>
        <v>563.22</v>
      </c>
      <c r="Q17" s="463">
        <f t="shared" si="10"/>
        <v>1.3517280000000001E-2</v>
      </c>
      <c r="R17" s="463">
        <f t="shared" si="11"/>
        <v>1.6896599999999997E-4</v>
      </c>
      <c r="S17" s="249">
        <f t="shared" si="12"/>
        <v>0.49272486772486768</v>
      </c>
      <c r="T17" s="249">
        <f t="shared" si="13"/>
        <v>2.5233076074972436</v>
      </c>
      <c r="U17" s="249">
        <f t="shared" si="14"/>
        <v>3.9417989417989414E-2</v>
      </c>
      <c r="V17" s="249">
        <f t="shared" si="15"/>
        <v>2.6752949999999998E-3</v>
      </c>
      <c r="W17" s="527">
        <f t="shared" si="16"/>
        <v>5.068979999999999E-3</v>
      </c>
    </row>
    <row r="18" spans="1:23" x14ac:dyDescent="0.25">
      <c r="A18" s="96" t="s">
        <v>665</v>
      </c>
      <c r="B18" s="459" t="s">
        <v>528</v>
      </c>
      <c r="C18" s="460"/>
      <c r="D18" s="22">
        <v>25</v>
      </c>
      <c r="E18" s="527">
        <f t="shared" si="0"/>
        <v>0.23467499999999999</v>
      </c>
      <c r="F18" s="717">
        <f>'EGenerator Raw Data'!H74</f>
        <v>0.69999999999999929</v>
      </c>
      <c r="G18" s="106">
        <f t="shared" si="1"/>
        <v>0.16427249999999982</v>
      </c>
      <c r="H18" s="461">
        <f t="shared" si="2"/>
        <v>3.942539999999996E-6</v>
      </c>
      <c r="I18" s="500">
        <f t="shared" si="3"/>
        <v>4.9281749999999944E-8</v>
      </c>
      <c r="J18" s="250">
        <f t="shared" si="4"/>
        <v>1.4371141975308625E-4</v>
      </c>
      <c r="K18" s="250">
        <f>SUM(D18/0.9*1.341*$C$33/453.5/2000*F18)</f>
        <v>7.3596471885336201E-4</v>
      </c>
      <c r="L18" s="250">
        <f t="shared" si="6"/>
        <v>1.1496913580246902E-5</v>
      </c>
      <c r="M18" s="250">
        <f t="shared" si="7"/>
        <v>7.8029437499999915E-7</v>
      </c>
      <c r="N18" s="529">
        <f t="shared" si="8"/>
        <v>1.4784524999999983E-6</v>
      </c>
      <c r="O18" s="96">
        <v>300</v>
      </c>
      <c r="P18" s="106">
        <f t="shared" si="9"/>
        <v>70.402500000000003</v>
      </c>
      <c r="Q18" s="463">
        <f t="shared" si="10"/>
        <v>1.6896600000000002E-3</v>
      </c>
      <c r="R18" s="463">
        <f t="shared" si="11"/>
        <v>2.1120749999999996E-5</v>
      </c>
      <c r="S18" s="249">
        <f t="shared" si="12"/>
        <v>6.159060846560846E-2</v>
      </c>
      <c r="T18" s="249">
        <f t="shared" si="13"/>
        <v>0.31541345093715545</v>
      </c>
      <c r="U18" s="249">
        <f t="shared" si="14"/>
        <v>4.9272486772486768E-3</v>
      </c>
      <c r="V18" s="249">
        <f t="shared" si="15"/>
        <v>3.3441187499999998E-4</v>
      </c>
      <c r="W18" s="527">
        <f t="shared" si="16"/>
        <v>6.3362249999999987E-4</v>
      </c>
    </row>
    <row r="19" spans="1:23" x14ac:dyDescent="0.25">
      <c r="A19" s="637" t="s">
        <v>822</v>
      </c>
      <c r="B19" s="459" t="s">
        <v>399</v>
      </c>
      <c r="C19" s="460">
        <v>0</v>
      </c>
      <c r="D19" s="22">
        <v>30</v>
      </c>
      <c r="E19" s="527">
        <f t="shared" si="0"/>
        <v>0.28161000000000003</v>
      </c>
      <c r="F19" s="717">
        <f>'EGenerator Raw Data'!H69</f>
        <v>42.2</v>
      </c>
      <c r="G19" s="106">
        <f t="shared" si="1"/>
        <v>11.883942000000001</v>
      </c>
      <c r="H19" s="461">
        <f t="shared" si="2"/>
        <v>2.8521460800000006E-4</v>
      </c>
      <c r="I19" s="500">
        <f t="shared" si="3"/>
        <v>3.5651826000000002E-6</v>
      </c>
      <c r="J19" s="250">
        <f t="shared" si="4"/>
        <v>1.0396494708994709E-2</v>
      </c>
      <c r="K19" s="250">
        <f>SUM(D19/0.9*1.341*$C$33/453.5/2000*F19)</f>
        <v>5.3241790518191855E-2</v>
      </c>
      <c r="L19" s="250">
        <f t="shared" si="6"/>
        <v>8.317195767195768E-4</v>
      </c>
      <c r="M19" s="250">
        <f t="shared" si="7"/>
        <v>5.6448724500000011E-5</v>
      </c>
      <c r="N19" s="529">
        <f t="shared" si="8"/>
        <v>1.0695547800000001E-4</v>
      </c>
      <c r="O19" s="96">
        <v>300</v>
      </c>
      <c r="P19" s="106">
        <f t="shared" si="9"/>
        <v>84.483000000000004</v>
      </c>
      <c r="Q19" s="463">
        <f t="shared" si="10"/>
        <v>2.0275920000000004E-3</v>
      </c>
      <c r="R19" s="463">
        <f t="shared" si="11"/>
        <v>2.5344899999999999E-5</v>
      </c>
      <c r="S19" s="249">
        <f t="shared" si="12"/>
        <v>7.390873015873016E-2</v>
      </c>
      <c r="T19" s="249">
        <f t="shared" si="13"/>
        <v>0.37849614112458663</v>
      </c>
      <c r="U19" s="249">
        <f t="shared" si="14"/>
        <v>5.9126984126984129E-3</v>
      </c>
      <c r="V19" s="249">
        <f t="shared" si="15"/>
        <v>4.0129425000000004E-4</v>
      </c>
      <c r="W19" s="527">
        <f t="shared" si="16"/>
        <v>7.6034699999999998E-4</v>
      </c>
    </row>
    <row r="20" spans="1:23" s="722" customFormat="1" x14ac:dyDescent="0.25">
      <c r="A20" s="637" t="s">
        <v>723</v>
      </c>
      <c r="B20" s="459" t="s">
        <v>399</v>
      </c>
      <c r="C20" s="460">
        <v>0</v>
      </c>
      <c r="D20" s="22">
        <v>63</v>
      </c>
      <c r="E20" s="527">
        <f t="shared" ref="E20" si="17">SUM(D20*1.341*7000/1000000)</f>
        <v>0.59138100000000005</v>
      </c>
      <c r="F20" s="717">
        <f>'EGenerator Raw Data'!H63</f>
        <v>28.199999999999989</v>
      </c>
      <c r="G20" s="106">
        <f t="shared" ref="G20" si="18">SUM(E20*F20)</f>
        <v>16.676944199999994</v>
      </c>
      <c r="H20" s="461">
        <f t="shared" si="2"/>
        <v>4.0024666079999989E-4</v>
      </c>
      <c r="I20" s="500">
        <f t="shared" si="3"/>
        <v>5.0030832599999986E-6</v>
      </c>
      <c r="J20" s="250">
        <f t="shared" si="4"/>
        <v>1.4589583333333328E-2</v>
      </c>
      <c r="K20" s="250">
        <f>SUM(D20/0.9*1.341*$C$33/453.5/2000*F20)</f>
        <v>7.4715138257993363E-2</v>
      </c>
      <c r="L20" s="250">
        <f t="shared" si="6"/>
        <v>1.1671666666666662E-3</v>
      </c>
      <c r="M20" s="250">
        <f t="shared" ref="M20" si="19">SUM(E20*0.0095*F20/2000)</f>
        <v>7.9215484949999977E-5</v>
      </c>
      <c r="N20" s="529">
        <f t="shared" ref="N20" si="20">SUM(E20*0.018*F20/2000)</f>
        <v>1.5009249779999995E-4</v>
      </c>
      <c r="O20" s="96">
        <v>300</v>
      </c>
      <c r="P20" s="106">
        <f t="shared" ref="P20" si="21">SUM(E20*O20)</f>
        <v>177.41430000000003</v>
      </c>
      <c r="Q20" s="463">
        <f t="shared" si="10"/>
        <v>4.2579432000000002E-3</v>
      </c>
      <c r="R20" s="463">
        <f t="shared" si="11"/>
        <v>5.3224289999999997E-5</v>
      </c>
      <c r="S20" s="249">
        <f t="shared" si="12"/>
        <v>0.15520833333333334</v>
      </c>
      <c r="T20" s="249">
        <f t="shared" si="13"/>
        <v>0.79484189636163183</v>
      </c>
      <c r="U20" s="249">
        <f t="shared" si="14"/>
        <v>1.2416666666666668E-2</v>
      </c>
      <c r="V20" s="249">
        <f t="shared" ref="V20" si="22">SUM(E20*0.0095*O20/2000)</f>
        <v>8.4271792499999998E-4</v>
      </c>
      <c r="W20" s="527">
        <f t="shared" ref="W20" si="23">SUM(E20*0.018*O20/2000)</f>
        <v>1.5967287000000002E-3</v>
      </c>
    </row>
    <row r="21" spans="1:23" x14ac:dyDescent="0.25">
      <c r="A21" s="96" t="s">
        <v>669</v>
      </c>
      <c r="B21" s="459" t="s">
        <v>398</v>
      </c>
      <c r="C21" s="460"/>
      <c r="D21" s="22">
        <v>150</v>
      </c>
      <c r="E21" s="527">
        <f t="shared" si="0"/>
        <v>1.40805</v>
      </c>
      <c r="F21" s="717">
        <f>'EGenerator Raw Data'!H64</f>
        <v>2.8999999999999986</v>
      </c>
      <c r="G21" s="106">
        <f t="shared" si="1"/>
        <v>4.0833449999999978</v>
      </c>
      <c r="H21" s="461">
        <f t="shared" si="2"/>
        <v>9.8000279999999949E-5</v>
      </c>
      <c r="I21" s="500">
        <f t="shared" si="3"/>
        <v>1.2250034999999995E-6</v>
      </c>
      <c r="J21" s="250">
        <f>SUM(D21/0.9*1.341*$D$32/453.6/2000*F21)</f>
        <v>1.2181390542328035E-2</v>
      </c>
      <c r="K21" s="250">
        <f>SUM(D21/0.9*1.341*$D$33/453.5/2000*F21)</f>
        <v>7.8606945975744178E-4</v>
      </c>
      <c r="L21" s="250">
        <f>SUM(D21/0.9*1.341*$D$34/453.6/2000*F21)</f>
        <v>2.714914021164019E-3</v>
      </c>
      <c r="M21" s="250">
        <f t="shared" si="7"/>
        <v>1.9395888749999993E-5</v>
      </c>
      <c r="N21" s="529">
        <f t="shared" si="8"/>
        <v>3.6750104999999986E-5</v>
      </c>
      <c r="O21" s="96">
        <v>300</v>
      </c>
      <c r="P21" s="106">
        <f t="shared" si="9"/>
        <v>422.41500000000002</v>
      </c>
      <c r="Q21" s="463">
        <f t="shared" si="10"/>
        <v>1.0137960000000001E-2</v>
      </c>
      <c r="R21" s="463">
        <f t="shared" si="11"/>
        <v>1.267245E-4</v>
      </c>
      <c r="S21" s="249">
        <f t="shared" si="12"/>
        <v>0.3695436507936507</v>
      </c>
      <c r="T21" s="249">
        <f t="shared" si="13"/>
        <v>1.8924807056229327</v>
      </c>
      <c r="U21" s="249">
        <f t="shared" si="14"/>
        <v>2.9563492063492059E-2</v>
      </c>
      <c r="V21" s="249">
        <f t="shared" si="15"/>
        <v>2.00647125E-3</v>
      </c>
      <c r="W21" s="527">
        <f t="shared" si="16"/>
        <v>3.8017349999999997E-3</v>
      </c>
    </row>
    <row r="22" spans="1:23" x14ac:dyDescent="0.25">
      <c r="A22" s="96"/>
      <c r="B22" s="459"/>
      <c r="C22" s="460"/>
      <c r="D22" s="22"/>
      <c r="E22" s="107"/>
      <c r="F22" s="718"/>
      <c r="G22" s="106"/>
      <c r="H22" s="461"/>
      <c r="I22" s="500"/>
      <c r="J22" s="250"/>
      <c r="K22" s="250"/>
      <c r="L22" s="250"/>
      <c r="M22" s="250"/>
      <c r="N22" s="529"/>
      <c r="O22" s="96"/>
      <c r="P22" s="106"/>
      <c r="Q22" s="463"/>
      <c r="R22" s="463"/>
      <c r="S22" s="249"/>
      <c r="T22" s="249"/>
      <c r="U22" s="249"/>
      <c r="V22" s="249"/>
      <c r="W22" s="527"/>
    </row>
    <row r="23" spans="1:23" x14ac:dyDescent="0.25">
      <c r="A23" s="96"/>
      <c r="B23" s="459"/>
      <c r="C23" s="460"/>
      <c r="D23" s="22"/>
      <c r="E23" s="107"/>
      <c r="F23" s="718"/>
      <c r="G23" s="106"/>
      <c r="H23" s="461"/>
      <c r="I23" s="500"/>
      <c r="J23" s="250"/>
      <c r="K23" s="250"/>
      <c r="L23" s="250"/>
      <c r="M23" s="250"/>
      <c r="N23" s="529"/>
      <c r="O23" s="96"/>
      <c r="P23" s="106"/>
      <c r="Q23" s="463"/>
      <c r="R23" s="463"/>
      <c r="S23" s="249"/>
      <c r="T23" s="249"/>
      <c r="U23" s="249"/>
      <c r="V23" s="249"/>
      <c r="W23" s="527"/>
    </row>
    <row r="24" spans="1:23" x14ac:dyDescent="0.25">
      <c r="A24" s="96"/>
      <c r="B24" s="459"/>
      <c r="C24" s="460"/>
      <c r="D24" s="462" t="s">
        <v>405</v>
      </c>
      <c r="E24" s="532">
        <f>SUM(E10:E21)</f>
        <v>8.3638169999999992</v>
      </c>
      <c r="F24" s="719">
        <f>SUM(F10:F22)</f>
        <v>170.9</v>
      </c>
      <c r="G24" s="531">
        <f t="shared" ref="G24:N24" si="24">SUM(G10:G21)</f>
        <v>129.90950910000001</v>
      </c>
      <c r="H24" s="799">
        <f t="shared" si="24"/>
        <v>3.117828218399999E-3</v>
      </c>
      <c r="I24" s="799">
        <f t="shared" si="24"/>
        <v>3.8972852729999993E-5</v>
      </c>
      <c r="J24" s="799">
        <f t="shared" si="24"/>
        <v>0.12225858961640207</v>
      </c>
      <c r="K24" s="799">
        <f t="shared" si="24"/>
        <v>0.4888392328555678</v>
      </c>
      <c r="L24" s="799">
        <f t="shared" si="24"/>
        <v>1.1521089947089945E-2</v>
      </c>
      <c r="M24" s="799">
        <f t="shared" si="24"/>
        <v>6.1707016822499996E-4</v>
      </c>
      <c r="N24" s="800">
        <f t="shared" si="24"/>
        <v>1.1691855818999996E-3</v>
      </c>
      <c r="O24" s="530"/>
      <c r="P24" s="531">
        <f t="shared" ref="P24:V24" si="25">SUM(P10:P21)</f>
        <v>2509.1450999999997</v>
      </c>
      <c r="Q24" s="797">
        <f t="shared" si="25"/>
        <v>6.0219482400000017E-2</v>
      </c>
      <c r="R24" s="797">
        <f t="shared" si="25"/>
        <v>7.5274352999999989E-4</v>
      </c>
      <c r="S24" s="797">
        <f t="shared" si="25"/>
        <v>3.6794229497354496</v>
      </c>
      <c r="T24" s="797">
        <f t="shared" si="25"/>
        <v>8.222730099228226</v>
      </c>
      <c r="U24" s="797">
        <f t="shared" si="25"/>
        <v>0.59442328042328052</v>
      </c>
      <c r="V24" s="797">
        <f t="shared" si="25"/>
        <v>1.1918439224999997E-2</v>
      </c>
      <c r="W24" s="798">
        <v>0.9</v>
      </c>
    </row>
    <row r="25" spans="1:23" x14ac:dyDescent="0.25">
      <c r="B25" s="446"/>
      <c r="C25" s="6"/>
    </row>
    <row r="26" spans="1:23" x14ac:dyDescent="0.25">
      <c r="A26" t="s">
        <v>951</v>
      </c>
    </row>
    <row r="28" spans="1:23" x14ac:dyDescent="0.25">
      <c r="B28" s="446"/>
      <c r="C28" s="6" t="s">
        <v>406</v>
      </c>
      <c r="D28" t="s">
        <v>407</v>
      </c>
      <c r="E28" t="s">
        <v>408</v>
      </c>
      <c r="G28" t="s">
        <v>574</v>
      </c>
    </row>
    <row r="29" spans="1:23" ht="15.75" thickBot="1" x14ac:dyDescent="0.3">
      <c r="B29" s="446"/>
      <c r="C29" s="453" t="s">
        <v>409</v>
      </c>
      <c r="D29" s="464" t="s">
        <v>409</v>
      </c>
      <c r="E29" s="464" t="s">
        <v>30</v>
      </c>
      <c r="G29" t="s">
        <v>698</v>
      </c>
      <c r="H29" t="s">
        <v>699</v>
      </c>
    </row>
    <row r="30" spans="1:23" x14ac:dyDescent="0.25">
      <c r="B30" t="s">
        <v>4</v>
      </c>
      <c r="C30" s="454" t="s">
        <v>410</v>
      </c>
      <c r="D30" s="454" t="s">
        <v>410</v>
      </c>
      <c r="E30">
        <v>4.8000000000000001E-2</v>
      </c>
      <c r="G30">
        <f>H24*2000/G24</f>
        <v>4.7999999999999987E-2</v>
      </c>
      <c r="H30">
        <f>G30*1020</f>
        <v>48.959999999999987</v>
      </c>
      <c r="L30">
        <v>47</v>
      </c>
    </row>
    <row r="31" spans="1:23" x14ac:dyDescent="0.25">
      <c r="B31" t="s">
        <v>218</v>
      </c>
      <c r="C31" s="454" t="s">
        <v>410</v>
      </c>
      <c r="D31" s="454" t="s">
        <v>410</v>
      </c>
      <c r="E31">
        <v>5.9999999999999995E-4</v>
      </c>
      <c r="G31">
        <f>I24*2000/G24</f>
        <v>5.9999999999999984E-4</v>
      </c>
      <c r="H31">
        <f t="shared" ref="H31:H36" si="26">G31*1020</f>
        <v>0.61199999999999988</v>
      </c>
    </row>
    <row r="32" spans="1:23" x14ac:dyDescent="0.25">
      <c r="B32" t="s">
        <v>12</v>
      </c>
      <c r="C32" s="6">
        <v>5</v>
      </c>
      <c r="D32">
        <v>17.05</v>
      </c>
      <c r="G32">
        <f>J24*2000/G24</f>
        <v>1.8822115557728953</v>
      </c>
      <c r="H32">
        <f t="shared" si="26"/>
        <v>1919.8557868883534</v>
      </c>
    </row>
    <row r="33" spans="2:10" x14ac:dyDescent="0.25">
      <c r="B33" t="s">
        <v>1</v>
      </c>
      <c r="C33" s="6">
        <v>25.6</v>
      </c>
      <c r="D33">
        <v>1.1000000000000001</v>
      </c>
      <c r="G33">
        <f>K24*2000/G24</f>
        <v>7.5258421995771787</v>
      </c>
      <c r="H33">
        <f t="shared" si="26"/>
        <v>7676.359043568722</v>
      </c>
      <c r="I33" s="443" t="s">
        <v>411</v>
      </c>
      <c r="J33" t="s">
        <v>412</v>
      </c>
    </row>
    <row r="34" spans="2:10" x14ac:dyDescent="0.25">
      <c r="B34" t="s">
        <v>2</v>
      </c>
      <c r="C34" s="6">
        <v>0.4</v>
      </c>
      <c r="D34">
        <v>3.8</v>
      </c>
      <c r="G34">
        <f>L24*2000/G24</f>
        <v>0.17737100273731915</v>
      </c>
      <c r="H34">
        <f t="shared" si="26"/>
        <v>180.91842279206554</v>
      </c>
      <c r="J34" t="s">
        <v>413</v>
      </c>
    </row>
    <row r="35" spans="2:10" x14ac:dyDescent="0.25">
      <c r="B35" t="s">
        <v>61</v>
      </c>
      <c r="C35" s="6"/>
      <c r="E35">
        <v>9.4999999999999998E-3</v>
      </c>
      <c r="G35">
        <f>M24*2000/G24</f>
        <v>9.499999999999998E-3</v>
      </c>
      <c r="H35">
        <f t="shared" si="26"/>
        <v>9.6899999999999977</v>
      </c>
    </row>
    <row r="36" spans="2:10" x14ac:dyDescent="0.25">
      <c r="B36" t="s">
        <v>102</v>
      </c>
      <c r="C36" s="6"/>
      <c r="E36">
        <v>1.7999999999999999E-2</v>
      </c>
      <c r="G36">
        <f>N24*2000/G24</f>
        <v>1.7999999999999995E-2</v>
      </c>
      <c r="H36">
        <f t="shared" si="26"/>
        <v>18.359999999999996</v>
      </c>
    </row>
    <row r="37" spans="2:10" x14ac:dyDescent="0.25">
      <c r="B37" s="446"/>
      <c r="C37" s="6"/>
    </row>
  </sheetData>
  <mergeCells count="4">
    <mergeCell ref="F6:N6"/>
    <mergeCell ref="A1:N1"/>
    <mergeCell ref="A2:N2"/>
    <mergeCell ref="O6:W6"/>
  </mergeCells>
  <pageMargins left="0.7" right="0.7" top="0.75" bottom="0.75" header="0.3" footer="0.3"/>
  <pageSetup scale="4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3"/>
  <sheetViews>
    <sheetView topLeftCell="B7" zoomScale="85" zoomScaleNormal="85" workbookViewId="0">
      <pane ySplit="810" topLeftCell="A72" activePane="bottomLeft"/>
      <selection activeCell="C7" sqref="C7"/>
      <selection pane="bottomLeft" activeCell="I86" sqref="I86"/>
    </sheetView>
  </sheetViews>
  <sheetFormatPr defaultRowHeight="15" x14ac:dyDescent="0.25"/>
  <cols>
    <col min="1" max="1" width="32.5703125" customWidth="1"/>
    <col min="2" max="2" width="16.85546875" customWidth="1"/>
    <col min="3" max="3" width="11.5703125" customWidth="1"/>
    <col min="4" max="4" width="12.28515625" customWidth="1"/>
    <col min="6" max="6" width="13" customWidth="1"/>
    <col min="7" max="7" width="9.140625" style="168"/>
    <col min="8" max="8" width="14" style="670" customWidth="1"/>
    <col min="9" max="22" width="10" customWidth="1"/>
  </cols>
  <sheetData>
    <row r="1" spans="1:22" x14ac:dyDescent="0.25">
      <c r="A1" s="1277" t="s">
        <v>512</v>
      </c>
      <c r="B1" s="1277"/>
      <c r="C1" s="1277"/>
      <c r="D1" s="1277"/>
      <c r="E1" s="1277"/>
      <c r="F1" s="1277"/>
      <c r="G1" s="1277"/>
      <c r="H1" s="1277"/>
      <c r="I1" s="1277"/>
      <c r="J1" s="1277"/>
      <c r="K1" s="1277"/>
      <c r="L1" s="1277"/>
      <c r="M1" s="1277"/>
      <c r="N1" s="1277"/>
      <c r="O1" s="1277"/>
      <c r="P1" s="1277"/>
      <c r="Q1" s="1277"/>
      <c r="R1" s="1277"/>
      <c r="S1" s="1277"/>
      <c r="T1" s="1277"/>
      <c r="U1" s="1277"/>
      <c r="V1" s="1277"/>
    </row>
    <row r="2" spans="1:22" x14ac:dyDescent="0.25">
      <c r="A2" s="1277" t="s">
        <v>513</v>
      </c>
      <c r="B2" s="1277"/>
      <c r="C2" s="1277"/>
      <c r="D2" s="1277"/>
      <c r="E2" s="1277"/>
      <c r="F2" s="1277"/>
      <c r="G2" s="1277"/>
      <c r="H2" s="1277"/>
      <c r="I2" s="1277"/>
      <c r="J2" s="1277"/>
      <c r="K2" s="1277"/>
      <c r="L2" s="1277"/>
      <c r="M2" s="1277"/>
      <c r="N2" s="1277"/>
      <c r="O2" s="1277"/>
      <c r="P2" s="1277"/>
      <c r="Q2" s="1277"/>
      <c r="R2" s="1277"/>
      <c r="S2" s="1277"/>
      <c r="T2" s="1277"/>
      <c r="U2" s="1277"/>
      <c r="V2" s="1277"/>
    </row>
    <row r="3" spans="1:22" x14ac:dyDescent="0.25">
      <c r="A3" s="1277" t="s">
        <v>1044</v>
      </c>
      <c r="B3" s="1277"/>
      <c r="C3" s="1277"/>
      <c r="D3" s="1277"/>
      <c r="E3" s="1277"/>
      <c r="F3" s="1277"/>
      <c r="G3" s="1277"/>
      <c r="H3" s="1277"/>
      <c r="I3" s="1277"/>
      <c r="J3" s="1277"/>
      <c r="K3" s="1277"/>
      <c r="L3" s="1277"/>
      <c r="M3" s="1277"/>
      <c r="N3" s="1277"/>
      <c r="O3" s="1277"/>
      <c r="P3" s="1277"/>
      <c r="Q3" s="1277"/>
      <c r="R3" s="1277"/>
      <c r="S3" s="1277"/>
      <c r="T3" s="1277"/>
      <c r="U3" s="1277"/>
      <c r="V3" s="1277"/>
    </row>
    <row r="4" spans="1:22" x14ac:dyDescent="0.25">
      <c r="A4" s="465"/>
    </row>
    <row r="5" spans="1:22" ht="15.75" thickBot="1" x14ac:dyDescent="0.3"/>
    <row r="6" spans="1:22" ht="15.75" thickBot="1" x14ac:dyDescent="0.3">
      <c r="A6" s="536"/>
      <c r="B6" s="537"/>
      <c r="C6" s="538"/>
      <c r="D6" s="538"/>
      <c r="E6" s="536"/>
      <c r="F6" s="536"/>
      <c r="G6" s="539"/>
      <c r="H6" s="705"/>
      <c r="I6" s="1274" t="s">
        <v>514</v>
      </c>
      <c r="J6" s="1275"/>
      <c r="K6" s="1275"/>
      <c r="L6" s="1275"/>
      <c r="M6" s="1275"/>
      <c r="N6" s="1275"/>
      <c r="O6" s="1276"/>
      <c r="P6" s="1274" t="s">
        <v>838</v>
      </c>
      <c r="Q6" s="1275"/>
      <c r="R6" s="1275"/>
      <c r="S6" s="1275"/>
      <c r="T6" s="1275"/>
      <c r="U6" s="1275"/>
      <c r="V6" s="1276"/>
    </row>
    <row r="7" spans="1:22" ht="33.75" customHeight="1" thickBot="1" x14ac:dyDescent="0.4">
      <c r="A7" s="540" t="s">
        <v>387</v>
      </c>
      <c r="B7" s="541" t="s">
        <v>252</v>
      </c>
      <c r="C7" s="542" t="s">
        <v>826</v>
      </c>
      <c r="D7" s="542" t="s">
        <v>827</v>
      </c>
      <c r="E7" s="541" t="s">
        <v>516</v>
      </c>
      <c r="F7" s="543" t="s">
        <v>517</v>
      </c>
      <c r="G7" s="544" t="s">
        <v>518</v>
      </c>
      <c r="H7" s="706" t="s">
        <v>519</v>
      </c>
      <c r="I7" s="545" t="s">
        <v>4</v>
      </c>
      <c r="J7" s="546" t="s">
        <v>218</v>
      </c>
      <c r="K7" s="546" t="s">
        <v>391</v>
      </c>
      <c r="L7" s="546" t="s">
        <v>1</v>
      </c>
      <c r="M7" s="546" t="s">
        <v>392</v>
      </c>
      <c r="N7" s="546" t="s">
        <v>61</v>
      </c>
      <c r="O7" s="547" t="s">
        <v>828</v>
      </c>
      <c r="P7" s="545" t="s">
        <v>4</v>
      </c>
      <c r="Q7" s="546" t="s">
        <v>218</v>
      </c>
      <c r="R7" s="546" t="s">
        <v>391</v>
      </c>
      <c r="S7" s="546" t="s">
        <v>1</v>
      </c>
      <c r="T7" s="546" t="s">
        <v>392</v>
      </c>
      <c r="U7" s="546" t="s">
        <v>61</v>
      </c>
      <c r="V7" s="547" t="s">
        <v>828</v>
      </c>
    </row>
    <row r="8" spans="1:22" x14ac:dyDescent="0.25">
      <c r="A8" s="548"/>
      <c r="B8" s="549"/>
      <c r="C8" s="549"/>
      <c r="D8" s="549"/>
      <c r="E8" s="549"/>
      <c r="F8" s="549"/>
      <c r="G8" s="550"/>
      <c r="H8" s="707"/>
      <c r="I8" s="551"/>
      <c r="J8" s="552"/>
      <c r="K8" s="552"/>
      <c r="L8" s="552"/>
      <c r="M8" s="552"/>
      <c r="N8" s="552"/>
      <c r="O8" s="553"/>
      <c r="V8" s="451"/>
    </row>
    <row r="9" spans="1:22" x14ac:dyDescent="0.25">
      <c r="A9" s="554" t="s">
        <v>670</v>
      </c>
      <c r="I9" s="555"/>
      <c r="J9" s="556"/>
      <c r="K9" s="556"/>
      <c r="L9" s="556"/>
      <c r="M9" s="556"/>
      <c r="N9" s="556"/>
      <c r="O9" s="557"/>
      <c r="V9" s="451"/>
    </row>
    <row r="10" spans="1:22" ht="15.75" thickBot="1" x14ac:dyDescent="0.3">
      <c r="A10" s="558" t="s">
        <v>520</v>
      </c>
      <c r="B10" s="559" t="s">
        <v>396</v>
      </c>
      <c r="C10" s="560"/>
      <c r="D10" s="561"/>
      <c r="E10" s="520">
        <v>1000</v>
      </c>
      <c r="F10" s="562">
        <f>SUM(E10*1.341*7000/1000000)</f>
        <v>9.3870000000000005</v>
      </c>
      <c r="G10" s="563">
        <f>'EGenerator Raw Data'!H18</f>
        <v>3</v>
      </c>
      <c r="H10" s="708">
        <f>SUM(F10*G10)</f>
        <v>28.161000000000001</v>
      </c>
      <c r="I10" s="606">
        <f>(H10*$B$94)/2000</f>
        <v>4.3649550000000002E-3</v>
      </c>
      <c r="J10" s="607">
        <f>H10*$B$95/2000</f>
        <v>4.0833449999999995E-3</v>
      </c>
      <c r="K10" s="608">
        <f>H10*$B$96/2000</f>
        <v>6.1954200000000008E-2</v>
      </c>
      <c r="L10" s="608">
        <f>H10*$B$97/2000</f>
        <v>1.3376474999999999E-2</v>
      </c>
      <c r="M10" s="608">
        <f>H10*$B$98/2000</f>
        <v>6.0546150000000002E-3</v>
      </c>
      <c r="N10" s="608">
        <f>I10</f>
        <v>4.3649550000000002E-3</v>
      </c>
      <c r="O10" s="609">
        <f>H10*$B$100/2000</f>
        <v>2.9569050000000004E-4</v>
      </c>
      <c r="P10" s="560">
        <f>F10*300*$B$94/2000</f>
        <v>0.43649550000000004</v>
      </c>
      <c r="Q10" s="560">
        <f>F10*300*$B$95/2000</f>
        <v>0.40833450000000004</v>
      </c>
      <c r="R10" s="560">
        <f>F10*300*$B$96/2000</f>
        <v>6.1954200000000013</v>
      </c>
      <c r="S10" s="560">
        <f>F10*300*$B$97/2000</f>
        <v>1.3376475000000001</v>
      </c>
      <c r="T10" s="560">
        <f>F10*300*$B$98/2000</f>
        <v>0.6054615000000001</v>
      </c>
      <c r="U10" s="560">
        <f>P10</f>
        <v>0.43649550000000004</v>
      </c>
      <c r="V10" s="564">
        <f>F10*300*$B$100/2000</f>
        <v>2.9569050000000003E-2</v>
      </c>
    </row>
    <row r="11" spans="1:22" ht="15.75" thickTop="1" x14ac:dyDescent="0.25">
      <c r="A11" s="452"/>
      <c r="B11" s="446"/>
      <c r="C11" s="18"/>
      <c r="D11" s="2"/>
      <c r="E11" s="565" t="s">
        <v>521</v>
      </c>
      <c r="F11" s="566">
        <f>F10</f>
        <v>9.3870000000000005</v>
      </c>
      <c r="G11" s="567">
        <f>G10</f>
        <v>3</v>
      </c>
      <c r="H11" s="709">
        <f>SUM(F11*G11)</f>
        <v>28.161000000000001</v>
      </c>
      <c r="I11" s="569">
        <f t="shared" ref="I11:V11" si="0">I10</f>
        <v>4.3649550000000002E-3</v>
      </c>
      <c r="J11" s="570">
        <f t="shared" si="0"/>
        <v>4.0833449999999995E-3</v>
      </c>
      <c r="K11" s="571">
        <f t="shared" si="0"/>
        <v>6.1954200000000008E-2</v>
      </c>
      <c r="L11" s="571">
        <f t="shared" si="0"/>
        <v>1.3376474999999999E-2</v>
      </c>
      <c r="M11" s="571">
        <f t="shared" si="0"/>
        <v>6.0546150000000002E-3</v>
      </c>
      <c r="N11" s="571">
        <f t="shared" si="0"/>
        <v>4.3649550000000002E-3</v>
      </c>
      <c r="O11" s="572">
        <f t="shared" si="0"/>
        <v>2.9569050000000004E-4</v>
      </c>
      <c r="P11" s="573">
        <f t="shared" si="0"/>
        <v>0.43649550000000004</v>
      </c>
      <c r="Q11" s="573">
        <f t="shared" si="0"/>
        <v>0.40833450000000004</v>
      </c>
      <c r="R11" s="573">
        <f t="shared" si="0"/>
        <v>6.1954200000000013</v>
      </c>
      <c r="S11" s="573">
        <f t="shared" si="0"/>
        <v>1.3376475000000001</v>
      </c>
      <c r="T11" s="573">
        <f t="shared" si="0"/>
        <v>0.6054615000000001</v>
      </c>
      <c r="U11" s="573">
        <f t="shared" si="0"/>
        <v>0.43649550000000004</v>
      </c>
      <c r="V11" s="574">
        <f t="shared" si="0"/>
        <v>2.9569050000000003E-2</v>
      </c>
    </row>
    <row r="12" spans="1:22" s="792" customFormat="1" x14ac:dyDescent="0.25">
      <c r="A12" s="452"/>
      <c r="B12" s="446"/>
      <c r="C12" s="18"/>
      <c r="D12" s="2"/>
      <c r="E12" s="565"/>
      <c r="F12" s="788">
        <f>F11/0.139</f>
        <v>67.532374100719423</v>
      </c>
      <c r="G12" s="663" t="s">
        <v>212</v>
      </c>
      <c r="H12" s="789">
        <f>H11/0.139</f>
        <v>202.59712230215825</v>
      </c>
      <c r="I12" s="569"/>
      <c r="J12" s="570"/>
      <c r="K12" s="571"/>
      <c r="L12" s="571"/>
      <c r="M12" s="571"/>
      <c r="N12" s="571"/>
      <c r="O12" s="572"/>
      <c r="P12" s="573"/>
      <c r="Q12" s="573"/>
      <c r="R12" s="573"/>
      <c r="S12" s="573"/>
      <c r="T12" s="573"/>
      <c r="U12" s="573"/>
      <c r="V12" s="574"/>
    </row>
    <row r="13" spans="1:22" x14ac:dyDescent="0.25">
      <c r="A13" s="554" t="s">
        <v>671</v>
      </c>
      <c r="B13" s="446"/>
      <c r="C13" s="18"/>
      <c r="D13" s="2"/>
      <c r="E13" s="575"/>
      <c r="I13" s="610"/>
      <c r="J13" s="611"/>
      <c r="K13" s="612"/>
      <c r="L13" s="612"/>
      <c r="M13" s="612"/>
      <c r="N13" s="612"/>
      <c r="O13" s="613"/>
      <c r="P13" s="18"/>
      <c r="Q13" s="18"/>
      <c r="R13" s="18"/>
      <c r="S13" s="18"/>
      <c r="T13" s="18"/>
      <c r="U13" s="18"/>
      <c r="V13" s="576"/>
    </row>
    <row r="14" spans="1:22" ht="15.75" thickBot="1" x14ac:dyDescent="0.3">
      <c r="A14" s="577" t="s">
        <v>553</v>
      </c>
      <c r="B14" s="559" t="s">
        <v>396</v>
      </c>
      <c r="C14" s="560">
        <f>SUM(E14*1.341)</f>
        <v>107.28</v>
      </c>
      <c r="D14" s="561">
        <f>SUM(C14*7000)</f>
        <v>750960</v>
      </c>
      <c r="E14" s="520">
        <v>80</v>
      </c>
      <c r="F14" s="560">
        <f>SUM(E14*1.341*7000/1000000)</f>
        <v>0.75095999999999996</v>
      </c>
      <c r="G14" s="563">
        <f>'EGenerator Raw Data'!H47</f>
        <v>2.5</v>
      </c>
      <c r="H14" s="708">
        <f>SUM(F14*G14)</f>
        <v>1.8774</v>
      </c>
      <c r="I14" s="606">
        <f>(H14*$B$94)/2000</f>
        <v>2.9099699999999998E-4</v>
      </c>
      <c r="J14" s="607">
        <f>H14*$B$95/2000</f>
        <v>2.7222299999999999E-4</v>
      </c>
      <c r="K14" s="608">
        <f>H14*$B$96/2000</f>
        <v>4.1302800000000001E-3</v>
      </c>
      <c r="L14" s="608">
        <f>H14*$B$97/2000</f>
        <v>8.9176499999999988E-4</v>
      </c>
      <c r="M14" s="608">
        <f>H14*$B$98/2000</f>
        <v>4.0364099999999999E-4</v>
      </c>
      <c r="N14" s="608">
        <f>I14</f>
        <v>2.9099699999999998E-4</v>
      </c>
      <c r="O14" s="609">
        <f>H14*$B$100/2000</f>
        <v>1.9712699999999998E-5</v>
      </c>
      <c r="P14" s="560">
        <f>F14*300*$B$94/2000</f>
        <v>3.4919639999999995E-2</v>
      </c>
      <c r="Q14" s="560">
        <f>F14*300*$B$95/2000</f>
        <v>3.2666759999999996E-2</v>
      </c>
      <c r="R14" s="560">
        <f>F14*300*$B$96/2000</f>
        <v>0.49563360000000001</v>
      </c>
      <c r="S14" s="560">
        <f>F14*300*$B$97/2000</f>
        <v>0.10701179999999998</v>
      </c>
      <c r="T14" s="560">
        <f>F14*300*$B$98/2000</f>
        <v>4.8436919999999994E-2</v>
      </c>
      <c r="U14" s="560">
        <f>P14</f>
        <v>3.4919639999999995E-2</v>
      </c>
      <c r="V14" s="564">
        <f>F14*300*$B$100/2000</f>
        <v>2.3655240000000004E-3</v>
      </c>
    </row>
    <row r="15" spans="1:22" ht="15.75" thickTop="1" x14ac:dyDescent="0.25">
      <c r="A15" s="452"/>
      <c r="B15" s="446"/>
      <c r="C15" s="18"/>
      <c r="D15" s="2"/>
      <c r="E15" s="565" t="s">
        <v>522</v>
      </c>
      <c r="F15" s="566">
        <f>F14</f>
        <v>0.75095999999999996</v>
      </c>
      <c r="G15" s="567">
        <f>G14</f>
        <v>2.5</v>
      </c>
      <c r="H15" s="709">
        <f>SUM(F15*G15)</f>
        <v>1.8774</v>
      </c>
      <c r="I15" s="569">
        <f t="shared" ref="I15:V15" si="1">I14</f>
        <v>2.9099699999999998E-4</v>
      </c>
      <c r="J15" s="570">
        <f t="shared" si="1"/>
        <v>2.7222299999999999E-4</v>
      </c>
      <c r="K15" s="571">
        <f t="shared" si="1"/>
        <v>4.1302800000000001E-3</v>
      </c>
      <c r="L15" s="571">
        <f t="shared" si="1"/>
        <v>8.9176499999999988E-4</v>
      </c>
      <c r="M15" s="571">
        <f t="shared" si="1"/>
        <v>4.0364099999999999E-4</v>
      </c>
      <c r="N15" s="571">
        <f t="shared" si="1"/>
        <v>2.9099699999999998E-4</v>
      </c>
      <c r="O15" s="572">
        <f t="shared" si="1"/>
        <v>1.9712699999999998E-5</v>
      </c>
      <c r="P15" s="573">
        <f t="shared" si="1"/>
        <v>3.4919639999999995E-2</v>
      </c>
      <c r="Q15" s="573">
        <f t="shared" si="1"/>
        <v>3.2666759999999996E-2</v>
      </c>
      <c r="R15" s="573">
        <f t="shared" si="1"/>
        <v>0.49563360000000001</v>
      </c>
      <c r="S15" s="573">
        <f t="shared" si="1"/>
        <v>0.10701179999999998</v>
      </c>
      <c r="T15" s="573">
        <f t="shared" si="1"/>
        <v>4.8436919999999994E-2</v>
      </c>
      <c r="U15" s="573">
        <f t="shared" si="1"/>
        <v>3.4919639999999995E-2</v>
      </c>
      <c r="V15" s="808">
        <f t="shared" si="1"/>
        <v>2.3655240000000004E-3</v>
      </c>
    </row>
    <row r="16" spans="1:22" s="792" customFormat="1" x14ac:dyDescent="0.25">
      <c r="A16" s="452"/>
      <c r="B16" s="446"/>
      <c r="C16" s="18"/>
      <c r="D16" s="2"/>
      <c r="E16" s="565"/>
      <c r="F16" s="788">
        <f>F15/0.139</f>
        <v>5.4025899280575533</v>
      </c>
      <c r="G16" s="663" t="s">
        <v>212</v>
      </c>
      <c r="H16" s="789">
        <f>H15/0.139</f>
        <v>13.506474820143884</v>
      </c>
      <c r="I16" s="569"/>
      <c r="J16" s="570"/>
      <c r="K16" s="571"/>
      <c r="L16" s="571"/>
      <c r="M16" s="571"/>
      <c r="N16" s="571"/>
      <c r="O16" s="572"/>
      <c r="P16" s="573"/>
      <c r="Q16" s="573"/>
      <c r="R16" s="573"/>
      <c r="S16" s="573"/>
      <c r="T16" s="573"/>
      <c r="U16" s="573"/>
      <c r="V16" s="574"/>
    </row>
    <row r="17" spans="1:22" x14ac:dyDescent="0.25">
      <c r="A17" s="554" t="s">
        <v>672</v>
      </c>
      <c r="B17" s="446"/>
      <c r="C17" s="18"/>
      <c r="D17" s="2"/>
      <c r="F17" s="578"/>
      <c r="H17" s="682"/>
      <c r="I17" s="610"/>
      <c r="J17" s="611"/>
      <c r="K17" s="612"/>
      <c r="L17" s="612"/>
      <c r="M17" s="612"/>
      <c r="N17" s="612"/>
      <c r="O17" s="613"/>
      <c r="P17" s="18"/>
      <c r="Q17" s="18"/>
      <c r="R17" s="18"/>
      <c r="S17" s="18"/>
      <c r="T17" s="18"/>
      <c r="U17" s="18"/>
      <c r="V17" s="576"/>
    </row>
    <row r="18" spans="1:22" x14ac:dyDescent="0.25">
      <c r="A18" s="579" t="s">
        <v>808</v>
      </c>
      <c r="B18" s="446" t="s">
        <v>396</v>
      </c>
      <c r="C18" s="18">
        <f t="shared" ref="C18:C28" si="2">SUM(E18*1.341)</f>
        <v>167.625</v>
      </c>
      <c r="D18" s="2">
        <f t="shared" ref="D18:D25" si="3">SUM(C18*7000)</f>
        <v>1173375</v>
      </c>
      <c r="E18">
        <v>125</v>
      </c>
      <c r="F18" s="578">
        <f t="shared" ref="F18:F28" si="4">SUM(E18*1.341*7000/1000000)</f>
        <v>1.1733750000000001</v>
      </c>
      <c r="G18" s="580">
        <f>'EGenerator Raw Data'!H53</f>
        <v>5</v>
      </c>
      <c r="H18" s="682">
        <f t="shared" ref="H18:H28" si="5">SUM(F18*G18)</f>
        <v>5.8668750000000003</v>
      </c>
      <c r="I18" s="614">
        <f t="shared" ref="I18:I28" si="6">(H18*$B$94)/2000</f>
        <v>9.0936562500000008E-4</v>
      </c>
      <c r="J18" s="615">
        <f t="shared" ref="J18:J28" si="7">H18*$B$95/2000</f>
        <v>8.5069687500000004E-4</v>
      </c>
      <c r="K18" s="612">
        <f t="shared" ref="K18:K28" si="8">H18*$B$96/2000</f>
        <v>1.2907125000000002E-2</v>
      </c>
      <c r="L18" s="612">
        <f t="shared" ref="L18:L28" si="9">H18*$B$97/2000</f>
        <v>2.7867656250000002E-3</v>
      </c>
      <c r="M18" s="612">
        <f t="shared" ref="M18:M28" si="10">H18*$B$98/2000</f>
        <v>1.261378125E-3</v>
      </c>
      <c r="N18" s="612">
        <f t="shared" ref="N18:N26" si="11">I18</f>
        <v>9.0936562500000008E-4</v>
      </c>
      <c r="O18" s="613">
        <f t="shared" ref="O18:O28" si="12">H18*$B$100/2000</f>
        <v>6.1602187500000007E-5</v>
      </c>
      <c r="P18" s="18">
        <f t="shared" ref="P18:P28" si="13">F18*300*$B$94/2000</f>
        <v>5.4561937500000005E-2</v>
      </c>
      <c r="Q18" s="18">
        <f t="shared" ref="Q18:Q28" si="14">F18*300*$B$95/2000</f>
        <v>5.1041812500000006E-2</v>
      </c>
      <c r="R18" s="18">
        <f t="shared" ref="R18:R28" si="15">F18*300*$B$96/2000</f>
        <v>0.77442750000000016</v>
      </c>
      <c r="S18" s="18">
        <f t="shared" ref="S18:S28" si="16">F18*300*$B$97/2000</f>
        <v>0.16720593750000001</v>
      </c>
      <c r="T18" s="18">
        <f t="shared" ref="T18:T28" si="17">F18*300*$B$98/2000</f>
        <v>7.5682687500000012E-2</v>
      </c>
      <c r="U18" s="18">
        <f t="shared" ref="U18:U25" si="18">P18</f>
        <v>5.4561937500000005E-2</v>
      </c>
      <c r="V18" s="576">
        <f t="shared" ref="V18:V28" si="19">F18*300*$B$100/2000</f>
        <v>3.6961312500000004E-3</v>
      </c>
    </row>
    <row r="19" spans="1:22" x14ac:dyDescent="0.25">
      <c r="A19" s="579" t="s">
        <v>523</v>
      </c>
      <c r="B19" s="446" t="s">
        <v>396</v>
      </c>
      <c r="C19" s="18">
        <f t="shared" si="2"/>
        <v>167.625</v>
      </c>
      <c r="D19" s="2">
        <f t="shared" si="3"/>
        <v>1173375</v>
      </c>
      <c r="E19">
        <v>125</v>
      </c>
      <c r="F19" s="578">
        <f t="shared" si="4"/>
        <v>1.1733750000000001</v>
      </c>
      <c r="G19" s="580">
        <f>'EGenerator Raw Data'!H10</f>
        <v>10</v>
      </c>
      <c r="H19" s="682">
        <f t="shared" si="5"/>
        <v>11.733750000000001</v>
      </c>
      <c r="I19" s="614">
        <f t="shared" si="6"/>
        <v>1.8187312500000002E-3</v>
      </c>
      <c r="J19" s="615">
        <f t="shared" si="7"/>
        <v>1.7013937500000001E-3</v>
      </c>
      <c r="K19" s="612">
        <f t="shared" si="8"/>
        <v>2.5814250000000004E-2</v>
      </c>
      <c r="L19" s="612">
        <f t="shared" si="9"/>
        <v>5.5735312500000004E-3</v>
      </c>
      <c r="M19" s="612">
        <f t="shared" si="10"/>
        <v>2.52275625E-3</v>
      </c>
      <c r="N19" s="612">
        <f t="shared" si="11"/>
        <v>1.8187312500000002E-3</v>
      </c>
      <c r="O19" s="613">
        <f t="shared" si="12"/>
        <v>1.2320437500000001E-4</v>
      </c>
      <c r="P19" s="18">
        <f t="shared" si="13"/>
        <v>5.4561937500000005E-2</v>
      </c>
      <c r="Q19" s="18">
        <f t="shared" si="14"/>
        <v>5.1041812500000006E-2</v>
      </c>
      <c r="R19" s="18">
        <f t="shared" si="15"/>
        <v>0.77442750000000016</v>
      </c>
      <c r="S19" s="18">
        <f t="shared" si="16"/>
        <v>0.16720593750000001</v>
      </c>
      <c r="T19" s="18">
        <f t="shared" si="17"/>
        <v>7.5682687500000012E-2</v>
      </c>
      <c r="U19" s="18">
        <f t="shared" si="18"/>
        <v>5.4561937500000005E-2</v>
      </c>
      <c r="V19" s="576">
        <f t="shared" si="19"/>
        <v>3.6961312500000004E-3</v>
      </c>
    </row>
    <row r="20" spans="1:22" x14ac:dyDescent="0.25">
      <c r="A20" s="579" t="s">
        <v>524</v>
      </c>
      <c r="B20" s="446" t="s">
        <v>396</v>
      </c>
      <c r="C20" s="18">
        <f t="shared" si="2"/>
        <v>167.625</v>
      </c>
      <c r="D20" s="2">
        <f t="shared" si="3"/>
        <v>1173375</v>
      </c>
      <c r="E20">
        <v>125</v>
      </c>
      <c r="F20" s="578">
        <f t="shared" si="4"/>
        <v>1.1733750000000001</v>
      </c>
      <c r="G20" s="578">
        <f>'EGenerator Raw Data'!H55</f>
        <v>5</v>
      </c>
      <c r="H20" s="682">
        <f t="shared" si="5"/>
        <v>5.8668750000000003</v>
      </c>
      <c r="I20" s="614">
        <f t="shared" si="6"/>
        <v>9.0936562500000008E-4</v>
      </c>
      <c r="J20" s="615">
        <f t="shared" si="7"/>
        <v>8.5069687500000004E-4</v>
      </c>
      <c r="K20" s="612">
        <f t="shared" si="8"/>
        <v>1.2907125000000002E-2</v>
      </c>
      <c r="L20" s="612">
        <f t="shared" si="9"/>
        <v>2.7867656250000002E-3</v>
      </c>
      <c r="M20" s="612">
        <f t="shared" si="10"/>
        <v>1.261378125E-3</v>
      </c>
      <c r="N20" s="612">
        <f t="shared" si="11"/>
        <v>9.0936562500000008E-4</v>
      </c>
      <c r="O20" s="613">
        <f t="shared" si="12"/>
        <v>6.1602187500000007E-5</v>
      </c>
      <c r="P20" s="18">
        <f t="shared" si="13"/>
        <v>5.4561937500000005E-2</v>
      </c>
      <c r="Q20" s="18">
        <f t="shared" si="14"/>
        <v>5.1041812500000006E-2</v>
      </c>
      <c r="R20" s="18">
        <f t="shared" si="15"/>
        <v>0.77442750000000016</v>
      </c>
      <c r="S20" s="18">
        <f t="shared" si="16"/>
        <v>0.16720593750000001</v>
      </c>
      <c r="T20" s="18">
        <f t="shared" si="17"/>
        <v>7.5682687500000012E-2</v>
      </c>
      <c r="U20" s="18">
        <f t="shared" si="18"/>
        <v>5.4561937500000005E-2</v>
      </c>
      <c r="V20" s="576">
        <f t="shared" si="19"/>
        <v>3.6961312500000004E-3</v>
      </c>
    </row>
    <row r="21" spans="1:22" s="702" customFormat="1" x14ac:dyDescent="0.25">
      <c r="A21" s="579" t="s">
        <v>474</v>
      </c>
      <c r="B21" s="446" t="s">
        <v>396</v>
      </c>
      <c r="C21" s="18">
        <f t="shared" ref="C21:C22" si="20">SUM(E21*1.341)</f>
        <v>335.25</v>
      </c>
      <c r="D21" s="2">
        <f t="shared" ref="D21:D22" si="21">SUM(C21*7000)</f>
        <v>2346750</v>
      </c>
      <c r="E21" s="702">
        <v>250</v>
      </c>
      <c r="F21" s="578">
        <f t="shared" ref="F21:F22" si="22">SUM(E21*1.341*7000/1000000)</f>
        <v>2.3467500000000001</v>
      </c>
      <c r="G21" s="578">
        <f>'EGenerator Raw Data'!H23</f>
        <v>7</v>
      </c>
      <c r="H21" s="682">
        <f t="shared" ref="H21:H22" si="23">SUM(F21*G21)</f>
        <v>16.427250000000001</v>
      </c>
      <c r="I21" s="614">
        <f t="shared" si="6"/>
        <v>2.5462237500000003E-3</v>
      </c>
      <c r="J21" s="615">
        <f t="shared" si="7"/>
        <v>2.3819512499999996E-3</v>
      </c>
      <c r="K21" s="612">
        <f t="shared" si="8"/>
        <v>3.6139950000000004E-2</v>
      </c>
      <c r="L21" s="612">
        <f t="shared" si="9"/>
        <v>7.8029437500000002E-3</v>
      </c>
      <c r="M21" s="612">
        <f t="shared" si="10"/>
        <v>3.5318587500000002E-3</v>
      </c>
      <c r="N21" s="612">
        <f t="shared" ref="N21:N22" si="24">I21</f>
        <v>2.5462237500000003E-3</v>
      </c>
      <c r="O21" s="613">
        <f t="shared" si="12"/>
        <v>1.7248612500000003E-4</v>
      </c>
      <c r="P21" s="18">
        <f t="shared" si="13"/>
        <v>0.10912387500000001</v>
      </c>
      <c r="Q21" s="18">
        <f t="shared" si="14"/>
        <v>0.10208362500000001</v>
      </c>
      <c r="R21" s="18">
        <f t="shared" si="15"/>
        <v>1.5488550000000003</v>
      </c>
      <c r="S21" s="18">
        <f t="shared" si="16"/>
        <v>0.33441187500000003</v>
      </c>
      <c r="T21" s="18">
        <f t="shared" si="17"/>
        <v>0.15136537500000002</v>
      </c>
      <c r="U21" s="18">
        <f t="shared" ref="U21:U22" si="25">P21</f>
        <v>0.10912387500000001</v>
      </c>
      <c r="V21" s="576">
        <f t="shared" si="19"/>
        <v>7.3922625000000007E-3</v>
      </c>
    </row>
    <row r="22" spans="1:22" s="722" customFormat="1" x14ac:dyDescent="0.25">
      <c r="A22" s="579" t="s">
        <v>651</v>
      </c>
      <c r="B22" s="446" t="s">
        <v>396</v>
      </c>
      <c r="C22" s="18">
        <f t="shared" si="20"/>
        <v>469.34999999999997</v>
      </c>
      <c r="D22" s="2">
        <f t="shared" si="21"/>
        <v>3285449.9999999995</v>
      </c>
      <c r="E22" s="722">
        <v>350</v>
      </c>
      <c r="F22" s="578">
        <f t="shared" si="22"/>
        <v>3.2854499999999995</v>
      </c>
      <c r="G22" s="580">
        <f>'EGenerator Raw Data'!H62</f>
        <v>8</v>
      </c>
      <c r="H22" s="682">
        <f t="shared" si="23"/>
        <v>26.283599999999996</v>
      </c>
      <c r="I22" s="614">
        <f t="shared" si="6"/>
        <v>4.0739579999999991E-3</v>
      </c>
      <c r="J22" s="615">
        <f t="shared" si="7"/>
        <v>3.8111219999999993E-3</v>
      </c>
      <c r="K22" s="612">
        <f t="shared" si="8"/>
        <v>5.7823919999999994E-2</v>
      </c>
      <c r="L22" s="612">
        <f t="shared" si="9"/>
        <v>1.2484709999999998E-2</v>
      </c>
      <c r="M22" s="612">
        <f t="shared" si="10"/>
        <v>5.6509739999999987E-3</v>
      </c>
      <c r="N22" s="612">
        <f t="shared" si="24"/>
        <v>4.0739579999999991E-3</v>
      </c>
      <c r="O22" s="613">
        <f t="shared" si="12"/>
        <v>2.7597780000000001E-4</v>
      </c>
      <c r="P22" s="18">
        <f t="shared" si="13"/>
        <v>0.15277342499999996</v>
      </c>
      <c r="Q22" s="18">
        <f t="shared" si="14"/>
        <v>0.14291707499999998</v>
      </c>
      <c r="R22" s="18">
        <f t="shared" si="15"/>
        <v>2.1683970000000001</v>
      </c>
      <c r="S22" s="18">
        <f t="shared" si="16"/>
        <v>0.46817662499999996</v>
      </c>
      <c r="T22" s="18">
        <f t="shared" si="17"/>
        <v>0.21191152499999999</v>
      </c>
      <c r="U22" s="18">
        <f t="shared" si="25"/>
        <v>0.15277342499999996</v>
      </c>
      <c r="V22" s="576">
        <f t="shared" si="19"/>
        <v>1.0349167500000001E-2</v>
      </c>
    </row>
    <row r="23" spans="1:22" x14ac:dyDescent="0.25">
      <c r="A23" s="579" t="s">
        <v>891</v>
      </c>
      <c r="B23" s="446" t="s">
        <v>396</v>
      </c>
      <c r="C23" s="18">
        <f t="shared" si="2"/>
        <v>335.25</v>
      </c>
      <c r="D23" s="2">
        <f t="shared" si="3"/>
        <v>2346750</v>
      </c>
      <c r="E23">
        <v>250</v>
      </c>
      <c r="F23" s="578">
        <f t="shared" si="4"/>
        <v>2.3467500000000001</v>
      </c>
      <c r="G23" s="580">
        <f>'EGenerator Raw Data'!H36</f>
        <v>5</v>
      </c>
      <c r="H23" s="682">
        <f t="shared" si="5"/>
        <v>11.733750000000001</v>
      </c>
      <c r="I23" s="614">
        <f t="shared" si="6"/>
        <v>1.8187312500000002E-3</v>
      </c>
      <c r="J23" s="615">
        <f t="shared" si="7"/>
        <v>1.7013937500000001E-3</v>
      </c>
      <c r="K23" s="612">
        <f t="shared" si="8"/>
        <v>2.5814250000000004E-2</v>
      </c>
      <c r="L23" s="612">
        <f t="shared" si="9"/>
        <v>5.5735312500000004E-3</v>
      </c>
      <c r="M23" s="612">
        <f t="shared" si="10"/>
        <v>2.52275625E-3</v>
      </c>
      <c r="N23" s="612">
        <f t="shared" si="11"/>
        <v>1.8187312500000002E-3</v>
      </c>
      <c r="O23" s="613">
        <f t="shared" si="12"/>
        <v>1.2320437500000001E-4</v>
      </c>
      <c r="P23" s="18">
        <f t="shared" si="13"/>
        <v>0.10912387500000001</v>
      </c>
      <c r="Q23" s="18">
        <f t="shared" si="14"/>
        <v>0.10208362500000001</v>
      </c>
      <c r="R23" s="18">
        <f t="shared" si="15"/>
        <v>1.5488550000000003</v>
      </c>
      <c r="S23" s="18">
        <f t="shared" si="16"/>
        <v>0.33441187500000003</v>
      </c>
      <c r="T23" s="18">
        <f t="shared" si="17"/>
        <v>0.15136537500000002</v>
      </c>
      <c r="U23" s="18">
        <f t="shared" si="18"/>
        <v>0.10912387500000001</v>
      </c>
      <c r="V23" s="576">
        <f t="shared" si="19"/>
        <v>7.3922625000000007E-3</v>
      </c>
    </row>
    <row r="24" spans="1:22" x14ac:dyDescent="0.25">
      <c r="A24" s="579" t="s">
        <v>648</v>
      </c>
      <c r="B24" s="446" t="s">
        <v>396</v>
      </c>
      <c r="C24" s="18">
        <f t="shared" si="2"/>
        <v>148.851</v>
      </c>
      <c r="D24" s="2">
        <f t="shared" si="3"/>
        <v>1041957</v>
      </c>
      <c r="E24">
        <v>111</v>
      </c>
      <c r="F24" s="578">
        <f t="shared" si="4"/>
        <v>1.041957</v>
      </c>
      <c r="G24" s="580">
        <f>'EGenerator Raw Data'!H21</f>
        <v>2</v>
      </c>
      <c r="H24" s="682">
        <f t="shared" si="5"/>
        <v>2.083914</v>
      </c>
      <c r="I24" s="614">
        <f t="shared" si="6"/>
        <v>3.2300667000000001E-4</v>
      </c>
      <c r="J24" s="615">
        <f t="shared" si="7"/>
        <v>3.0216752999999994E-4</v>
      </c>
      <c r="K24" s="612">
        <f t="shared" si="8"/>
        <v>4.5846108000000005E-3</v>
      </c>
      <c r="L24" s="612">
        <f t="shared" si="9"/>
        <v>9.898591500000001E-4</v>
      </c>
      <c r="M24" s="612">
        <f t="shared" si="10"/>
        <v>4.4804150999999996E-4</v>
      </c>
      <c r="N24" s="612">
        <f t="shared" si="11"/>
        <v>3.2300667000000001E-4</v>
      </c>
      <c r="O24" s="613">
        <f t="shared" si="12"/>
        <v>2.1881097000000001E-5</v>
      </c>
      <c r="P24" s="18">
        <f t="shared" si="13"/>
        <v>4.8451000500000008E-2</v>
      </c>
      <c r="Q24" s="18">
        <f t="shared" si="14"/>
        <v>4.5325129500000005E-2</v>
      </c>
      <c r="R24" s="18">
        <f t="shared" si="15"/>
        <v>0.68769162000000006</v>
      </c>
      <c r="S24" s="18">
        <f t="shared" si="16"/>
        <v>0.1484788725</v>
      </c>
      <c r="T24" s="18">
        <f t="shared" si="17"/>
        <v>6.7206226499999994E-2</v>
      </c>
      <c r="U24" s="18">
        <f t="shared" si="18"/>
        <v>4.8451000500000008E-2</v>
      </c>
      <c r="V24" s="576">
        <f t="shared" si="19"/>
        <v>3.2821645500000006E-3</v>
      </c>
    </row>
    <row r="25" spans="1:22" x14ac:dyDescent="0.25">
      <c r="A25" s="579" t="s">
        <v>650</v>
      </c>
      <c r="B25" s="446" t="s">
        <v>396</v>
      </c>
      <c r="C25" s="18">
        <f t="shared" si="2"/>
        <v>1072.8</v>
      </c>
      <c r="D25" s="2">
        <f t="shared" si="3"/>
        <v>7509600</v>
      </c>
      <c r="E25">
        <v>800</v>
      </c>
      <c r="F25" s="578">
        <f t="shared" si="4"/>
        <v>7.5095999999999998</v>
      </c>
      <c r="G25" s="580">
        <f>'EGenerator Raw Data'!H32</f>
        <v>5.4000000000000057</v>
      </c>
      <c r="H25" s="682">
        <f t="shared" si="5"/>
        <v>40.551840000000041</v>
      </c>
      <c r="I25" s="614">
        <f t="shared" si="6"/>
        <v>6.2855352000000062E-3</v>
      </c>
      <c r="J25" s="615">
        <f t="shared" si="7"/>
        <v>5.8800168000000055E-3</v>
      </c>
      <c r="K25" s="612">
        <f t="shared" si="8"/>
        <v>8.9214048000000101E-2</v>
      </c>
      <c r="L25" s="612">
        <f t="shared" si="9"/>
        <v>1.9262124000000019E-2</v>
      </c>
      <c r="M25" s="612">
        <f t="shared" si="10"/>
        <v>8.7186456000000086E-3</v>
      </c>
      <c r="N25" s="612">
        <f t="shared" si="11"/>
        <v>6.2855352000000062E-3</v>
      </c>
      <c r="O25" s="613">
        <f t="shared" si="12"/>
        <v>4.2579432000000047E-4</v>
      </c>
      <c r="P25" s="18">
        <f t="shared" si="13"/>
        <v>0.34919640000000002</v>
      </c>
      <c r="Q25" s="18">
        <f t="shared" si="14"/>
        <v>0.3266676</v>
      </c>
      <c r="R25" s="18">
        <f t="shared" si="15"/>
        <v>4.9563360000000003</v>
      </c>
      <c r="S25" s="18">
        <f t="shared" si="16"/>
        <v>1.0701179999999999</v>
      </c>
      <c r="T25" s="18">
        <f t="shared" si="17"/>
        <v>0.48436920000000006</v>
      </c>
      <c r="U25" s="18">
        <f t="shared" si="18"/>
        <v>0.34919640000000002</v>
      </c>
      <c r="V25" s="576">
        <f t="shared" si="19"/>
        <v>2.3655240000000001E-2</v>
      </c>
    </row>
    <row r="26" spans="1:22" x14ac:dyDescent="0.25">
      <c r="A26" s="452" t="s">
        <v>525</v>
      </c>
      <c r="B26" s="446" t="s">
        <v>396</v>
      </c>
      <c r="C26" s="18">
        <f t="shared" si="2"/>
        <v>402.3</v>
      </c>
      <c r="D26" s="2">
        <f>SUM(C26*7000)</f>
        <v>2816100</v>
      </c>
      <c r="E26">
        <v>300</v>
      </c>
      <c r="F26" s="578">
        <f t="shared" si="4"/>
        <v>2.8161</v>
      </c>
      <c r="G26" s="580">
        <f>'EGenerator Raw Data'!H24</f>
        <v>4</v>
      </c>
      <c r="H26" s="682">
        <f t="shared" si="5"/>
        <v>11.2644</v>
      </c>
      <c r="I26" s="614">
        <f t="shared" si="6"/>
        <v>1.7459819999999999E-3</v>
      </c>
      <c r="J26" s="615">
        <f t="shared" si="7"/>
        <v>1.633338E-3</v>
      </c>
      <c r="K26" s="612">
        <f t="shared" si="8"/>
        <v>2.478168E-2</v>
      </c>
      <c r="L26" s="612">
        <f t="shared" si="9"/>
        <v>5.3505899999999997E-3</v>
      </c>
      <c r="M26" s="612">
        <f t="shared" si="10"/>
        <v>2.4218460000000001E-3</v>
      </c>
      <c r="N26" s="612">
        <f t="shared" si="11"/>
        <v>1.7459819999999999E-3</v>
      </c>
      <c r="O26" s="613">
        <f t="shared" si="12"/>
        <v>1.1827620000000002E-4</v>
      </c>
      <c r="P26" s="18">
        <f t="shared" si="13"/>
        <v>0.13094865000000003</v>
      </c>
      <c r="Q26" s="18">
        <f t="shared" si="14"/>
        <v>0.12250034999999999</v>
      </c>
      <c r="R26" s="18">
        <f t="shared" si="15"/>
        <v>1.8586260000000001</v>
      </c>
      <c r="S26" s="18">
        <f t="shared" si="16"/>
        <v>0.40129424999999996</v>
      </c>
      <c r="T26" s="18">
        <f t="shared" si="17"/>
        <v>0.18163845000000001</v>
      </c>
      <c r="U26" s="18">
        <f>P26</f>
        <v>0.13094865000000003</v>
      </c>
      <c r="V26" s="576">
        <f t="shared" si="19"/>
        <v>8.8707150000000012E-3</v>
      </c>
    </row>
    <row r="27" spans="1:22" x14ac:dyDescent="0.25">
      <c r="A27" s="581" t="s">
        <v>642</v>
      </c>
      <c r="B27" s="446" t="s">
        <v>396</v>
      </c>
      <c r="C27" s="18">
        <f t="shared" si="2"/>
        <v>49.751100000000001</v>
      </c>
      <c r="D27" s="2">
        <f>SUM(C27*7000)</f>
        <v>348257.7</v>
      </c>
      <c r="E27">
        <v>37.1</v>
      </c>
      <c r="F27" s="578">
        <f t="shared" si="4"/>
        <v>0.3482577</v>
      </c>
      <c r="G27" s="582">
        <f>'EGenerator Raw Data'!H15</f>
        <v>0</v>
      </c>
      <c r="H27" s="682">
        <f t="shared" si="5"/>
        <v>0</v>
      </c>
      <c r="I27" s="614">
        <f t="shared" si="6"/>
        <v>0</v>
      </c>
      <c r="J27" s="615">
        <f t="shared" si="7"/>
        <v>0</v>
      </c>
      <c r="K27" s="612">
        <f t="shared" si="8"/>
        <v>0</v>
      </c>
      <c r="L27" s="612">
        <f t="shared" si="9"/>
        <v>0</v>
      </c>
      <c r="M27" s="612">
        <f t="shared" si="10"/>
        <v>0</v>
      </c>
      <c r="N27" s="612">
        <f>I27</f>
        <v>0</v>
      </c>
      <c r="O27" s="613">
        <f t="shared" si="12"/>
        <v>0</v>
      </c>
      <c r="P27" s="18">
        <f t="shared" si="13"/>
        <v>1.6193983049999999E-2</v>
      </c>
      <c r="Q27" s="18">
        <f t="shared" si="14"/>
        <v>1.5149209949999999E-2</v>
      </c>
      <c r="R27" s="18">
        <f t="shared" si="15"/>
        <v>0.22985008200000001</v>
      </c>
      <c r="S27" s="18">
        <f t="shared" si="16"/>
        <v>4.9626722249999998E-2</v>
      </c>
      <c r="T27" s="18">
        <f t="shared" si="17"/>
        <v>2.246262165E-2</v>
      </c>
      <c r="U27" s="18">
        <f>P27</f>
        <v>1.6193983049999999E-2</v>
      </c>
      <c r="V27" s="576">
        <f t="shared" si="19"/>
        <v>1.097011755E-3</v>
      </c>
    </row>
    <row r="28" spans="1:22" ht="15.75" thickBot="1" x14ac:dyDescent="0.3">
      <c r="A28" s="558" t="s">
        <v>649</v>
      </c>
      <c r="B28" s="559" t="s">
        <v>396</v>
      </c>
      <c r="C28" s="560">
        <f t="shared" si="2"/>
        <v>1072.8</v>
      </c>
      <c r="D28" s="561">
        <f>SUM(C28*7000)</f>
        <v>7509600</v>
      </c>
      <c r="E28" s="520">
        <v>800</v>
      </c>
      <c r="F28" s="562">
        <f t="shared" si="4"/>
        <v>7.5095999999999998</v>
      </c>
      <c r="G28" s="563">
        <f>'EGenerator Raw Data'!H29</f>
        <v>8.2999999999999972</v>
      </c>
      <c r="H28" s="708">
        <f t="shared" si="5"/>
        <v>62.329679999999975</v>
      </c>
      <c r="I28" s="606">
        <f t="shared" si="6"/>
        <v>9.6611003999999973E-3</v>
      </c>
      <c r="J28" s="607">
        <f t="shared" si="7"/>
        <v>9.0378035999999964E-3</v>
      </c>
      <c r="K28" s="608">
        <f t="shared" si="8"/>
        <v>0.13712529599999995</v>
      </c>
      <c r="L28" s="608">
        <f t="shared" si="9"/>
        <v>2.9606597999999987E-2</v>
      </c>
      <c r="M28" s="608">
        <f t="shared" si="10"/>
        <v>1.3400881199999996E-2</v>
      </c>
      <c r="N28" s="608">
        <f>I28</f>
        <v>9.6611003999999973E-3</v>
      </c>
      <c r="O28" s="609">
        <f t="shared" si="12"/>
        <v>6.5446163999999978E-4</v>
      </c>
      <c r="P28" s="560">
        <f t="shared" si="13"/>
        <v>0.34919640000000002</v>
      </c>
      <c r="Q28" s="560">
        <f t="shared" si="14"/>
        <v>0.3266676</v>
      </c>
      <c r="R28" s="560">
        <f t="shared" si="15"/>
        <v>4.9563360000000003</v>
      </c>
      <c r="S28" s="560">
        <f t="shared" si="16"/>
        <v>1.0701179999999999</v>
      </c>
      <c r="T28" s="560">
        <f t="shared" si="17"/>
        <v>0.48436920000000006</v>
      </c>
      <c r="U28" s="560">
        <f>P28</f>
        <v>0.34919640000000002</v>
      </c>
      <c r="V28" s="564">
        <f t="shared" si="19"/>
        <v>2.3655240000000001E-2</v>
      </c>
    </row>
    <row r="29" spans="1:22" ht="15.75" thickTop="1" x14ac:dyDescent="0.25">
      <c r="A29" s="452"/>
      <c r="B29" s="446"/>
      <c r="C29" s="18"/>
      <c r="D29" s="2"/>
      <c r="E29" s="565" t="s">
        <v>526</v>
      </c>
      <c r="F29" s="573">
        <f t="shared" ref="F29:V29" si="26">SUM(F18:F28)</f>
        <v>30.724589699999999</v>
      </c>
      <c r="G29" s="583">
        <f t="shared" si="26"/>
        <v>59.7</v>
      </c>
      <c r="H29" s="709">
        <f t="shared" si="26"/>
        <v>194.14193400000002</v>
      </c>
      <c r="I29" s="616">
        <f t="shared" si="26"/>
        <v>3.0091999770000002E-2</v>
      </c>
      <c r="J29" s="571">
        <f t="shared" si="26"/>
        <v>2.8150580430000002E-2</v>
      </c>
      <c r="K29" s="571">
        <f t="shared" si="26"/>
        <v>0.42711225480000009</v>
      </c>
      <c r="L29" s="571">
        <f t="shared" si="26"/>
        <v>9.2217418650000008E-2</v>
      </c>
      <c r="M29" s="571">
        <f t="shared" si="26"/>
        <v>4.1740515810000003E-2</v>
      </c>
      <c r="N29" s="571">
        <f t="shared" si="26"/>
        <v>3.0091999770000002E-2</v>
      </c>
      <c r="O29" s="572">
        <f t="shared" si="26"/>
        <v>2.0384903070000005E-3</v>
      </c>
      <c r="P29" s="573">
        <f t="shared" si="26"/>
        <v>1.4286934210500002</v>
      </c>
      <c r="Q29" s="573">
        <f t="shared" si="26"/>
        <v>1.33651965195</v>
      </c>
      <c r="R29" s="573">
        <f t="shared" si="26"/>
        <v>20.278229202000006</v>
      </c>
      <c r="S29" s="573">
        <f t="shared" si="26"/>
        <v>4.3782540322500001</v>
      </c>
      <c r="T29" s="573">
        <f t="shared" si="26"/>
        <v>1.98173603565</v>
      </c>
      <c r="U29" s="573">
        <f t="shared" si="26"/>
        <v>1.4286934210500002</v>
      </c>
      <c r="V29" s="574">
        <f t="shared" si="26"/>
        <v>9.6782457555000007E-2</v>
      </c>
    </row>
    <row r="30" spans="1:22" s="792" customFormat="1" x14ac:dyDescent="0.25">
      <c r="A30" s="452"/>
      <c r="B30" s="446"/>
      <c r="C30" s="18"/>
      <c r="D30" s="2"/>
      <c r="E30" s="565"/>
      <c r="F30" s="788">
        <f>F29/0.139</f>
        <v>221.04021366906471</v>
      </c>
      <c r="G30" s="663" t="s">
        <v>212</v>
      </c>
      <c r="H30" s="789">
        <f>H29/0.139</f>
        <v>1396.7045611510791</v>
      </c>
      <c r="I30" s="616"/>
      <c r="J30" s="571"/>
      <c r="K30" s="571"/>
      <c r="L30" s="571"/>
      <c r="M30" s="571"/>
      <c r="N30" s="571"/>
      <c r="O30" s="572"/>
      <c r="P30" s="573"/>
      <c r="Q30" s="573"/>
      <c r="R30" s="573"/>
      <c r="S30" s="573"/>
      <c r="T30" s="573"/>
      <c r="U30" s="573"/>
      <c r="V30" s="574"/>
    </row>
    <row r="31" spans="1:22" x14ac:dyDescent="0.25">
      <c r="A31" s="554" t="s">
        <v>673</v>
      </c>
      <c r="B31" s="446"/>
      <c r="C31" s="18"/>
      <c r="D31" s="2"/>
      <c r="F31" s="18"/>
      <c r="H31" s="682"/>
      <c r="I31" s="610"/>
      <c r="J31" s="611"/>
      <c r="K31" s="612"/>
      <c r="L31" s="612"/>
      <c r="M31" s="612"/>
      <c r="N31" s="612"/>
      <c r="O31" s="613"/>
      <c r="P31" s="18"/>
      <c r="Q31" s="18"/>
      <c r="R31" s="18"/>
      <c r="S31" s="18"/>
      <c r="T31" s="18"/>
      <c r="U31" s="18"/>
      <c r="V31" s="576"/>
    </row>
    <row r="32" spans="1:22" x14ac:dyDescent="0.25">
      <c r="A32" s="452" t="s">
        <v>527</v>
      </c>
      <c r="B32" s="446" t="s">
        <v>528</v>
      </c>
      <c r="C32" s="18">
        <f t="shared" ref="C32:C40" si="27">SUM(E32*1.341)</f>
        <v>154.215</v>
      </c>
      <c r="D32" s="2">
        <f t="shared" ref="D32:D73" si="28">SUM(C32*7000)</f>
        <v>1079505</v>
      </c>
      <c r="E32">
        <v>115</v>
      </c>
      <c r="F32" s="578">
        <f t="shared" ref="F32:F40" si="29">SUM(E32*1.341*7000/1000000)</f>
        <v>1.0795049999999999</v>
      </c>
      <c r="G32" s="580">
        <f>'EGenerator Raw Data'!H19</f>
        <v>4.6000000000000227</v>
      </c>
      <c r="H32" s="682">
        <f t="shared" ref="H32:H40" si="30">SUM(F32*G32)</f>
        <v>4.9657230000000245</v>
      </c>
      <c r="I32" s="614">
        <f t="shared" ref="I32:I40" si="31">(H32*$B$94)/2000</f>
        <v>7.6968706500000388E-4</v>
      </c>
      <c r="J32" s="615">
        <f t="shared" ref="J32:J40" si="32">H32*$B$95/2000</f>
        <v>7.2002983500000345E-4</v>
      </c>
      <c r="K32" s="612">
        <f t="shared" ref="K32:K40" si="33">H32*$B$96/2000</f>
        <v>1.0924590600000054E-2</v>
      </c>
      <c r="L32" s="612">
        <f t="shared" ref="L32:L40" si="34">H32*$B$97/2000</f>
        <v>2.3587184250000118E-3</v>
      </c>
      <c r="M32" s="612">
        <f t="shared" ref="M32:M40" si="35">H32*$B$98/2000</f>
        <v>1.0676304450000053E-3</v>
      </c>
      <c r="N32" s="612">
        <f>I32</f>
        <v>7.6968706500000388E-4</v>
      </c>
      <c r="O32" s="613">
        <f t="shared" ref="O32:O40" si="36">H32*$B$100/2000</f>
        <v>5.2140091500000263E-5</v>
      </c>
      <c r="P32" s="18">
        <f t="shared" ref="P32:P40" si="37">F32*300*$B$94/2000</f>
        <v>5.0196982499999994E-2</v>
      </c>
      <c r="Q32" s="18">
        <f t="shared" ref="Q32:Q40" si="38">F32*300*$B$95/2000</f>
        <v>4.6958467499999997E-2</v>
      </c>
      <c r="R32" s="18">
        <f t="shared" ref="R32:R40" si="39">F32*300*$B$96/2000</f>
        <v>0.71247329999999998</v>
      </c>
      <c r="S32" s="18">
        <f t="shared" ref="S32:S40" si="40">F32*300*$B$97/2000</f>
        <v>0.15382946249999999</v>
      </c>
      <c r="T32" s="18">
        <f t="shared" ref="T32:T40" si="41">F32*300*$B$98/2000</f>
        <v>6.9628072499999999E-2</v>
      </c>
      <c r="U32" s="18">
        <f t="shared" ref="U32:U39" si="42">P32</f>
        <v>5.0196982499999994E-2</v>
      </c>
      <c r="V32" s="576">
        <f t="shared" ref="V32:V40" si="43">F32*300*$B$100/2000</f>
        <v>3.4004407499999998E-3</v>
      </c>
    </row>
    <row r="33" spans="1:22" x14ac:dyDescent="0.25">
      <c r="A33" s="452" t="s">
        <v>529</v>
      </c>
      <c r="B33" s="446" t="s">
        <v>528</v>
      </c>
      <c r="C33" s="18">
        <f t="shared" si="27"/>
        <v>167.625</v>
      </c>
      <c r="D33" s="2">
        <f t="shared" si="28"/>
        <v>1173375</v>
      </c>
      <c r="E33">
        <v>125</v>
      </c>
      <c r="F33" s="578">
        <f t="shared" si="29"/>
        <v>1.1733750000000001</v>
      </c>
      <c r="G33" s="578">
        <f>'EGenerator Raw Data'!H33</f>
        <v>0</v>
      </c>
      <c r="H33" s="682">
        <f>SUM(F33*G33)</f>
        <v>0</v>
      </c>
      <c r="I33" s="614">
        <f t="shared" si="31"/>
        <v>0</v>
      </c>
      <c r="J33" s="615">
        <f t="shared" si="32"/>
        <v>0</v>
      </c>
      <c r="K33" s="612">
        <f t="shared" si="33"/>
        <v>0</v>
      </c>
      <c r="L33" s="612">
        <f t="shared" si="34"/>
        <v>0</v>
      </c>
      <c r="M33" s="612">
        <f t="shared" si="35"/>
        <v>0</v>
      </c>
      <c r="N33" s="612">
        <f t="shared" ref="N33:N40" si="44">I33</f>
        <v>0</v>
      </c>
      <c r="O33" s="613">
        <f t="shared" si="36"/>
        <v>0</v>
      </c>
      <c r="P33" s="18">
        <f t="shared" si="37"/>
        <v>5.4561937500000005E-2</v>
      </c>
      <c r="Q33" s="18">
        <f t="shared" si="38"/>
        <v>5.1041812500000006E-2</v>
      </c>
      <c r="R33" s="18">
        <f t="shared" si="39"/>
        <v>0.77442750000000016</v>
      </c>
      <c r="S33" s="18">
        <f t="shared" si="40"/>
        <v>0.16720593750000001</v>
      </c>
      <c r="T33" s="18">
        <f t="shared" si="41"/>
        <v>7.5682687500000012E-2</v>
      </c>
      <c r="U33" s="18">
        <f t="shared" si="42"/>
        <v>5.4561937500000005E-2</v>
      </c>
      <c r="V33" s="576">
        <f t="shared" si="43"/>
        <v>3.6961312500000004E-3</v>
      </c>
    </row>
    <row r="34" spans="1:22" x14ac:dyDescent="0.25">
      <c r="A34" s="452" t="s">
        <v>530</v>
      </c>
      <c r="B34" s="446" t="s">
        <v>528</v>
      </c>
      <c r="C34" s="18">
        <f t="shared" si="27"/>
        <v>167.625</v>
      </c>
      <c r="D34" s="2">
        <f t="shared" si="28"/>
        <v>1173375</v>
      </c>
      <c r="E34">
        <v>125</v>
      </c>
      <c r="F34" s="578">
        <f t="shared" si="29"/>
        <v>1.1733750000000001</v>
      </c>
      <c r="G34" s="578">
        <f>'EGenerator Raw Data'!H34</f>
        <v>3.6999999999999886</v>
      </c>
      <c r="H34" s="682">
        <f>SUM(F34*G34)</f>
        <v>4.3414874999999871</v>
      </c>
      <c r="I34" s="614">
        <f t="shared" si="31"/>
        <v>6.7293056249999794E-4</v>
      </c>
      <c r="J34" s="615">
        <f t="shared" si="32"/>
        <v>6.295156874999981E-4</v>
      </c>
      <c r="K34" s="612">
        <f t="shared" si="33"/>
        <v>9.5512724999999733E-3</v>
      </c>
      <c r="L34" s="612">
        <f t="shared" si="34"/>
        <v>2.0622065624999941E-3</v>
      </c>
      <c r="M34" s="612">
        <f t="shared" si="35"/>
        <v>9.3341981249999719E-4</v>
      </c>
      <c r="N34" s="612">
        <f t="shared" si="44"/>
        <v>6.7293056249999794E-4</v>
      </c>
      <c r="O34" s="613">
        <f t="shared" si="36"/>
        <v>4.558561874999987E-5</v>
      </c>
      <c r="P34" s="18">
        <f t="shared" si="37"/>
        <v>5.4561937500000005E-2</v>
      </c>
      <c r="Q34" s="18">
        <f t="shared" si="38"/>
        <v>5.1041812500000006E-2</v>
      </c>
      <c r="R34" s="18">
        <f t="shared" si="39"/>
        <v>0.77442750000000016</v>
      </c>
      <c r="S34" s="18">
        <f t="shared" si="40"/>
        <v>0.16720593750000001</v>
      </c>
      <c r="T34" s="18">
        <f t="shared" si="41"/>
        <v>7.5682687500000012E-2</v>
      </c>
      <c r="U34" s="18">
        <f t="shared" si="42"/>
        <v>5.4561937500000005E-2</v>
      </c>
      <c r="V34" s="576">
        <f t="shared" si="43"/>
        <v>3.6961312500000004E-3</v>
      </c>
    </row>
    <row r="35" spans="1:22" x14ac:dyDescent="0.25">
      <c r="A35" s="452" t="s">
        <v>531</v>
      </c>
      <c r="B35" s="446" t="s">
        <v>401</v>
      </c>
      <c r="C35" s="18">
        <f t="shared" si="27"/>
        <v>154.215</v>
      </c>
      <c r="D35" s="2">
        <f t="shared" si="28"/>
        <v>1079505</v>
      </c>
      <c r="E35">
        <v>115</v>
      </c>
      <c r="F35" s="578">
        <f t="shared" si="29"/>
        <v>1.0795049999999999</v>
      </c>
      <c r="G35" s="578">
        <f>'EGenerator Raw Data'!H35</f>
        <v>10.100000000000023</v>
      </c>
      <c r="H35" s="682">
        <f t="shared" si="30"/>
        <v>10.903000500000024</v>
      </c>
      <c r="I35" s="614">
        <f t="shared" si="31"/>
        <v>1.6899650775000037E-3</v>
      </c>
      <c r="J35" s="615">
        <f t="shared" si="32"/>
        <v>1.5809350725000033E-3</v>
      </c>
      <c r="K35" s="612">
        <f t="shared" si="33"/>
        <v>2.3986601100000053E-2</v>
      </c>
      <c r="L35" s="612">
        <f t="shared" si="34"/>
        <v>5.178925237500011E-3</v>
      </c>
      <c r="M35" s="612">
        <f t="shared" si="35"/>
        <v>2.3441451075000052E-3</v>
      </c>
      <c r="N35" s="612">
        <f t="shared" si="44"/>
        <v>1.6899650775000037E-3</v>
      </c>
      <c r="O35" s="613">
        <f t="shared" si="36"/>
        <v>1.1448150525000025E-4</v>
      </c>
      <c r="P35" s="18">
        <f t="shared" si="37"/>
        <v>5.0196982499999994E-2</v>
      </c>
      <c r="Q35" s="18">
        <f t="shared" si="38"/>
        <v>4.6958467499999997E-2</v>
      </c>
      <c r="R35" s="18">
        <f t="shared" si="39"/>
        <v>0.71247329999999998</v>
      </c>
      <c r="S35" s="18">
        <f t="shared" si="40"/>
        <v>0.15382946249999999</v>
      </c>
      <c r="T35" s="18">
        <f t="shared" si="41"/>
        <v>6.9628072499999999E-2</v>
      </c>
      <c r="U35" s="18">
        <f t="shared" si="42"/>
        <v>5.0196982499999994E-2</v>
      </c>
      <c r="V35" s="576">
        <f t="shared" si="43"/>
        <v>3.4004407499999998E-3</v>
      </c>
    </row>
    <row r="36" spans="1:22" x14ac:dyDescent="0.25">
      <c r="A36" s="452" t="s">
        <v>532</v>
      </c>
      <c r="B36" s="446" t="s">
        <v>528</v>
      </c>
      <c r="C36" s="18">
        <f>SUM(E36*1.341)</f>
        <v>201.15</v>
      </c>
      <c r="D36" s="2">
        <f>SUM(C36*7000)</f>
        <v>1408050</v>
      </c>
      <c r="E36">
        <v>150</v>
      </c>
      <c r="F36" s="578">
        <f t="shared" si="29"/>
        <v>1.40805</v>
      </c>
      <c r="G36" s="735">
        <f>'EGenerator Raw Data'!H51</f>
        <v>1.0999999999999943</v>
      </c>
      <c r="H36" s="682">
        <f t="shared" si="30"/>
        <v>1.5488549999999921</v>
      </c>
      <c r="I36" s="614">
        <f t="shared" si="31"/>
        <v>2.4007252499999877E-4</v>
      </c>
      <c r="J36" s="615">
        <f t="shared" si="32"/>
        <v>2.2458397499999883E-4</v>
      </c>
      <c r="K36" s="612">
        <f t="shared" si="33"/>
        <v>3.4074809999999831E-3</v>
      </c>
      <c r="L36" s="612">
        <f t="shared" si="34"/>
        <v>7.3570612499999617E-4</v>
      </c>
      <c r="M36" s="612">
        <f t="shared" si="35"/>
        <v>3.3300382499999829E-4</v>
      </c>
      <c r="N36" s="612">
        <f t="shared" si="44"/>
        <v>2.4007252499999877E-4</v>
      </c>
      <c r="O36" s="613">
        <f t="shared" si="36"/>
        <v>1.6262977499999917E-5</v>
      </c>
      <c r="P36" s="18">
        <f t="shared" si="37"/>
        <v>6.5474325000000014E-2</v>
      </c>
      <c r="Q36" s="18">
        <f t="shared" si="38"/>
        <v>6.1250174999999997E-2</v>
      </c>
      <c r="R36" s="18">
        <f t="shared" si="39"/>
        <v>0.92931300000000006</v>
      </c>
      <c r="S36" s="18">
        <f t="shared" si="40"/>
        <v>0.20064712499999998</v>
      </c>
      <c r="T36" s="18">
        <f t="shared" si="41"/>
        <v>9.0819225000000003E-2</v>
      </c>
      <c r="U36" s="18">
        <f t="shared" si="42"/>
        <v>6.5474325000000014E-2</v>
      </c>
      <c r="V36" s="576">
        <f t="shared" si="43"/>
        <v>4.4353575000000006E-3</v>
      </c>
    </row>
    <row r="37" spans="1:22" x14ac:dyDescent="0.25">
      <c r="A37" s="452" t="s">
        <v>533</v>
      </c>
      <c r="B37" s="446" t="s">
        <v>528</v>
      </c>
      <c r="C37" s="18">
        <f t="shared" si="27"/>
        <v>167.625</v>
      </c>
      <c r="D37" s="2">
        <f t="shared" si="28"/>
        <v>1173375</v>
      </c>
      <c r="E37">
        <v>125</v>
      </c>
      <c r="F37" s="578">
        <f t="shared" si="29"/>
        <v>1.1733750000000001</v>
      </c>
      <c r="G37" s="580">
        <f>'EGenerator Raw Data'!H61</f>
        <v>1.8999999999999773</v>
      </c>
      <c r="H37" s="682">
        <f t="shared" si="30"/>
        <v>2.2294124999999734</v>
      </c>
      <c r="I37" s="614">
        <f t="shared" si="31"/>
        <v>3.4555893749999586E-4</v>
      </c>
      <c r="J37" s="615">
        <f t="shared" si="32"/>
        <v>3.2326481249999613E-4</v>
      </c>
      <c r="K37" s="612">
        <f t="shared" si="33"/>
        <v>4.904707499999942E-3</v>
      </c>
      <c r="L37" s="612">
        <f t="shared" si="34"/>
        <v>1.0589709374999874E-3</v>
      </c>
      <c r="M37" s="612">
        <f t="shared" si="35"/>
        <v>4.7932368749999425E-4</v>
      </c>
      <c r="N37" s="612">
        <f t="shared" si="44"/>
        <v>3.4555893749999586E-4</v>
      </c>
      <c r="O37" s="613">
        <f t="shared" si="36"/>
        <v>2.3408831249999721E-5</v>
      </c>
      <c r="P37" s="18">
        <f t="shared" si="37"/>
        <v>5.4561937500000005E-2</v>
      </c>
      <c r="Q37" s="18">
        <f t="shared" si="38"/>
        <v>5.1041812500000006E-2</v>
      </c>
      <c r="R37" s="18">
        <f t="shared" si="39"/>
        <v>0.77442750000000016</v>
      </c>
      <c r="S37" s="18">
        <f t="shared" si="40"/>
        <v>0.16720593750000001</v>
      </c>
      <c r="T37" s="18">
        <f t="shared" si="41"/>
        <v>7.5682687500000012E-2</v>
      </c>
      <c r="U37" s="18">
        <f t="shared" si="42"/>
        <v>5.4561937500000005E-2</v>
      </c>
      <c r="V37" s="576">
        <f t="shared" si="43"/>
        <v>3.6961312500000004E-3</v>
      </c>
    </row>
    <row r="38" spans="1:22" x14ac:dyDescent="0.25">
      <c r="A38" s="452" t="s">
        <v>534</v>
      </c>
      <c r="B38" s="446" t="s">
        <v>528</v>
      </c>
      <c r="C38" s="18">
        <f t="shared" si="27"/>
        <v>107.28</v>
      </c>
      <c r="D38" s="2">
        <f t="shared" si="28"/>
        <v>750960</v>
      </c>
      <c r="E38">
        <v>80</v>
      </c>
      <c r="F38" s="578">
        <f t="shared" si="29"/>
        <v>0.75095999999999996</v>
      </c>
      <c r="G38" s="580">
        <f>'EGenerator Raw Data'!H8</f>
        <v>7</v>
      </c>
      <c r="H38" s="682">
        <f t="shared" si="30"/>
        <v>5.2567199999999996</v>
      </c>
      <c r="I38" s="614">
        <f t="shared" si="31"/>
        <v>8.1479159999999992E-4</v>
      </c>
      <c r="J38" s="615">
        <f t="shared" si="32"/>
        <v>7.6222439999999996E-4</v>
      </c>
      <c r="K38" s="612">
        <f t="shared" si="33"/>
        <v>1.1564784E-2</v>
      </c>
      <c r="L38" s="612">
        <f t="shared" si="34"/>
        <v>2.4969419999999998E-3</v>
      </c>
      <c r="M38" s="612">
        <f t="shared" si="35"/>
        <v>1.1301948E-3</v>
      </c>
      <c r="N38" s="612">
        <f t="shared" si="44"/>
        <v>8.1479159999999992E-4</v>
      </c>
      <c r="O38" s="613">
        <f t="shared" si="36"/>
        <v>5.5195559999999994E-5</v>
      </c>
      <c r="P38" s="18">
        <f t="shared" si="37"/>
        <v>3.4919639999999995E-2</v>
      </c>
      <c r="Q38" s="18">
        <f t="shared" si="38"/>
        <v>3.2666759999999996E-2</v>
      </c>
      <c r="R38" s="18">
        <f t="shared" si="39"/>
        <v>0.49563360000000001</v>
      </c>
      <c r="S38" s="18">
        <f t="shared" si="40"/>
        <v>0.10701179999999998</v>
      </c>
      <c r="T38" s="18">
        <f t="shared" si="41"/>
        <v>4.8436919999999994E-2</v>
      </c>
      <c r="U38" s="18">
        <f t="shared" si="42"/>
        <v>3.4919639999999995E-2</v>
      </c>
      <c r="V38" s="576">
        <f t="shared" si="43"/>
        <v>2.3655240000000004E-3</v>
      </c>
    </row>
    <row r="39" spans="1:22" x14ac:dyDescent="0.25">
      <c r="A39" s="579" t="s">
        <v>535</v>
      </c>
      <c r="B39" s="584" t="s">
        <v>528</v>
      </c>
      <c r="C39" s="18">
        <f t="shared" si="27"/>
        <v>402.3</v>
      </c>
      <c r="D39" s="2">
        <f t="shared" si="28"/>
        <v>2816100</v>
      </c>
      <c r="E39">
        <v>300</v>
      </c>
      <c r="F39" s="578">
        <f t="shared" si="29"/>
        <v>2.8161</v>
      </c>
      <c r="G39" s="580">
        <f>'EGenerator Raw Data'!H59</f>
        <v>6.1000000000000014</v>
      </c>
      <c r="H39" s="682">
        <f t="shared" si="30"/>
        <v>17.178210000000004</v>
      </c>
      <c r="I39" s="614">
        <f t="shared" si="31"/>
        <v>2.6626225500000003E-3</v>
      </c>
      <c r="J39" s="615">
        <f t="shared" si="32"/>
        <v>2.4908404500000002E-3</v>
      </c>
      <c r="K39" s="612">
        <f t="shared" si="33"/>
        <v>3.7792062000000008E-2</v>
      </c>
      <c r="L39" s="612">
        <f t="shared" si="34"/>
        <v>8.1596497500000011E-3</v>
      </c>
      <c r="M39" s="612">
        <f t="shared" si="35"/>
        <v>3.6933151500000007E-3</v>
      </c>
      <c r="N39" s="612">
        <f t="shared" si="44"/>
        <v>2.6626225500000003E-3</v>
      </c>
      <c r="O39" s="613">
        <f t="shared" si="36"/>
        <v>1.8037120500000005E-4</v>
      </c>
      <c r="P39" s="18">
        <f t="shared" si="37"/>
        <v>0.13094865000000003</v>
      </c>
      <c r="Q39" s="18">
        <f t="shared" si="38"/>
        <v>0.12250034999999999</v>
      </c>
      <c r="R39" s="18">
        <f t="shared" si="39"/>
        <v>1.8586260000000001</v>
      </c>
      <c r="S39" s="18">
        <f t="shared" si="40"/>
        <v>0.40129424999999996</v>
      </c>
      <c r="T39" s="18">
        <f t="shared" si="41"/>
        <v>0.18163845000000001</v>
      </c>
      <c r="U39" s="18">
        <f t="shared" si="42"/>
        <v>0.13094865000000003</v>
      </c>
      <c r="V39" s="576">
        <f t="shared" si="43"/>
        <v>8.8707150000000012E-3</v>
      </c>
    </row>
    <row r="40" spans="1:22" ht="15.75" thickBot="1" x14ac:dyDescent="0.3">
      <c r="A40" s="585" t="s">
        <v>652</v>
      </c>
      <c r="B40" s="586" t="s">
        <v>528</v>
      </c>
      <c r="C40" s="560">
        <f t="shared" si="27"/>
        <v>536.4</v>
      </c>
      <c r="D40" s="561">
        <f t="shared" si="28"/>
        <v>3754800</v>
      </c>
      <c r="E40" s="520">
        <v>400</v>
      </c>
      <c r="F40" s="562">
        <f t="shared" si="29"/>
        <v>3.7547999999999999</v>
      </c>
      <c r="G40" s="563">
        <f>'EGenerator Raw Data'!H26</f>
        <v>4.1000000000000014</v>
      </c>
      <c r="H40" s="708">
        <f t="shared" si="30"/>
        <v>15.394680000000005</v>
      </c>
      <c r="I40" s="606">
        <f t="shared" si="31"/>
        <v>2.3861754000000009E-3</v>
      </c>
      <c r="J40" s="607">
        <f t="shared" si="32"/>
        <v>2.2322286000000004E-3</v>
      </c>
      <c r="K40" s="608">
        <f t="shared" si="33"/>
        <v>3.3868296000000013E-2</v>
      </c>
      <c r="L40" s="608">
        <f t="shared" si="34"/>
        <v>7.3124730000000016E-3</v>
      </c>
      <c r="M40" s="608">
        <f t="shared" si="35"/>
        <v>3.3098562000000008E-3</v>
      </c>
      <c r="N40" s="608">
        <f t="shared" si="44"/>
        <v>2.3861754000000009E-3</v>
      </c>
      <c r="O40" s="609">
        <f t="shared" si="36"/>
        <v>1.6164414000000005E-4</v>
      </c>
      <c r="P40" s="560">
        <f t="shared" si="37"/>
        <v>0.17459820000000001</v>
      </c>
      <c r="Q40" s="560">
        <f t="shared" si="38"/>
        <v>0.1633338</v>
      </c>
      <c r="R40" s="560">
        <f t="shared" si="39"/>
        <v>2.4781680000000001</v>
      </c>
      <c r="S40" s="560">
        <f t="shared" si="40"/>
        <v>0.53505899999999995</v>
      </c>
      <c r="T40" s="560">
        <f t="shared" si="41"/>
        <v>0.24218460000000003</v>
      </c>
      <c r="U40" s="560">
        <f>P40</f>
        <v>0.17459820000000001</v>
      </c>
      <c r="V40" s="564">
        <f t="shared" si="43"/>
        <v>1.182762E-2</v>
      </c>
    </row>
    <row r="41" spans="1:22" ht="15.75" thickTop="1" x14ac:dyDescent="0.25">
      <c r="A41" s="452"/>
      <c r="B41" s="587"/>
      <c r="C41" s="573"/>
      <c r="D41" s="588"/>
      <c r="E41" s="565" t="s">
        <v>536</v>
      </c>
      <c r="F41" s="573">
        <f t="shared" ref="F41:V41" si="45">SUM(F32:F40)</f>
        <v>14.409045000000001</v>
      </c>
      <c r="G41" s="583">
        <f t="shared" si="45"/>
        <v>38.600000000000009</v>
      </c>
      <c r="H41" s="709">
        <f t="shared" si="45"/>
        <v>61.818088500000016</v>
      </c>
      <c r="I41" s="616">
        <f t="shared" si="45"/>
        <v>9.5818037175000002E-3</v>
      </c>
      <c r="J41" s="571">
        <f t="shared" si="45"/>
        <v>8.9636228325000004E-3</v>
      </c>
      <c r="K41" s="571">
        <f t="shared" si="45"/>
        <v>0.13599979470000004</v>
      </c>
      <c r="L41" s="571">
        <f t="shared" si="45"/>
        <v>2.9363592037500004E-2</v>
      </c>
      <c r="M41" s="571">
        <f t="shared" si="45"/>
        <v>1.3290889027500001E-2</v>
      </c>
      <c r="N41" s="571">
        <f t="shared" si="45"/>
        <v>9.5818037175000002E-3</v>
      </c>
      <c r="O41" s="572">
        <f t="shared" si="45"/>
        <v>6.4908992925000013E-4</v>
      </c>
      <c r="P41" s="573">
        <f t="shared" si="45"/>
        <v>0.67002059250000001</v>
      </c>
      <c r="Q41" s="573">
        <f t="shared" si="45"/>
        <v>0.62679345750000004</v>
      </c>
      <c r="R41" s="573">
        <f t="shared" si="45"/>
        <v>9.5099696999999992</v>
      </c>
      <c r="S41" s="573">
        <f t="shared" si="45"/>
        <v>2.0532889124999998</v>
      </c>
      <c r="T41" s="573">
        <f t="shared" si="45"/>
        <v>0.92938340250000007</v>
      </c>
      <c r="U41" s="573">
        <f t="shared" si="45"/>
        <v>0.67002059250000001</v>
      </c>
      <c r="V41" s="574">
        <f t="shared" si="45"/>
        <v>4.538849175000001E-2</v>
      </c>
    </row>
    <row r="42" spans="1:22" s="781" customFormat="1" x14ac:dyDescent="0.25">
      <c r="A42" s="452"/>
      <c r="B42" s="587"/>
      <c r="C42" s="573"/>
      <c r="D42" s="588"/>
      <c r="E42" s="565"/>
      <c r="F42" s="788">
        <f>F41/0.139</f>
        <v>103.66219424460431</v>
      </c>
      <c r="G42" s="663" t="s">
        <v>212</v>
      </c>
      <c r="H42" s="789">
        <f>H41/0.139</f>
        <v>444.73444964028783</v>
      </c>
      <c r="I42" s="616"/>
      <c r="J42" s="571"/>
      <c r="K42" s="571"/>
      <c r="L42" s="571"/>
      <c r="M42" s="571"/>
      <c r="N42" s="571"/>
      <c r="O42" s="572"/>
      <c r="P42" s="573"/>
      <c r="Q42" s="573"/>
      <c r="R42" s="573"/>
      <c r="S42" s="573"/>
      <c r="T42" s="573"/>
      <c r="U42" s="573"/>
      <c r="V42" s="574"/>
    </row>
    <row r="43" spans="1:22" x14ac:dyDescent="0.25">
      <c r="A43" s="554" t="s">
        <v>674</v>
      </c>
      <c r="B43" s="446"/>
      <c r="C43" s="18"/>
      <c r="D43" s="2"/>
      <c r="F43" s="578"/>
      <c r="H43" s="682"/>
      <c r="I43" s="614"/>
      <c r="J43" s="615"/>
      <c r="K43" s="612"/>
      <c r="L43" s="612"/>
      <c r="M43" s="612"/>
      <c r="N43" s="612"/>
      <c r="O43" s="613"/>
      <c r="P43" s="18"/>
      <c r="Q43" s="18"/>
      <c r="R43" s="18"/>
      <c r="S43" s="18"/>
      <c r="T43" s="18"/>
      <c r="U43" s="18"/>
      <c r="V43" s="576"/>
    </row>
    <row r="44" spans="1:22" x14ac:dyDescent="0.25">
      <c r="A44" s="452" t="s">
        <v>554</v>
      </c>
      <c r="B44" s="446" t="s">
        <v>399</v>
      </c>
      <c r="C44" s="18">
        <f t="shared" ref="C44:C50" si="46">SUM(E44*1.341)</f>
        <v>100.575</v>
      </c>
      <c r="D44" s="2">
        <f t="shared" si="28"/>
        <v>704025</v>
      </c>
      <c r="E44">
        <v>75</v>
      </c>
      <c r="F44" s="578">
        <f>SUM(D44/1000000)</f>
        <v>0.70402500000000001</v>
      </c>
      <c r="G44" s="580">
        <f>'EGenerator Raw Data'!H17</f>
        <v>8</v>
      </c>
      <c r="H44" s="682">
        <f t="shared" ref="H44:H52" si="47">SUM(F44*G44)</f>
        <v>5.6322000000000001</v>
      </c>
      <c r="I44" s="614">
        <f t="shared" ref="I44:I55" si="48">(H44*$B$94)/2000</f>
        <v>8.7299099999999994E-4</v>
      </c>
      <c r="J44" s="615">
        <f t="shared" ref="J44:J55" si="49">H44*$B$95/2000</f>
        <v>8.1666900000000001E-4</v>
      </c>
      <c r="K44" s="612">
        <f t="shared" ref="K44:K55" si="50">H44*$B$96/2000</f>
        <v>1.239084E-2</v>
      </c>
      <c r="L44" s="612">
        <f t="shared" ref="L44:L55" si="51">H44*$B$97/2000</f>
        <v>2.6752949999999998E-3</v>
      </c>
      <c r="M44" s="612">
        <f t="shared" ref="M44:M55" si="52">H44*$B$98/2000</f>
        <v>1.210923E-3</v>
      </c>
      <c r="N44" s="612">
        <f t="shared" ref="N44:N52" si="53">I44</f>
        <v>8.7299099999999994E-4</v>
      </c>
      <c r="O44" s="613">
        <f t="shared" ref="O44:O55" si="54">H44*$B$100/2000</f>
        <v>5.9138100000000009E-5</v>
      </c>
      <c r="P44" s="18">
        <f t="shared" ref="P44:P55" si="55">F44*300*$B$94/2000</f>
        <v>3.2737162500000007E-2</v>
      </c>
      <c r="Q44" s="18">
        <f t="shared" ref="Q44:Q55" si="56">F44*300*$B$95/2000</f>
        <v>3.0625087499999998E-2</v>
      </c>
      <c r="R44" s="18">
        <f t="shared" ref="R44:R55" si="57">F44*300*$B$96/2000</f>
        <v>0.46465650000000003</v>
      </c>
      <c r="S44" s="18">
        <f t="shared" ref="S44:S55" si="58">F44*300*$B$97/2000</f>
        <v>0.10032356249999999</v>
      </c>
      <c r="T44" s="18">
        <f t="shared" ref="T44:T55" si="59">F44*300*$B$98/2000</f>
        <v>4.5409612500000002E-2</v>
      </c>
      <c r="U44" s="18">
        <f t="shared" ref="U44:U52" si="60">P44</f>
        <v>3.2737162500000007E-2</v>
      </c>
      <c r="V44" s="576">
        <f t="shared" ref="V44:V55" si="61">F44*300*$B$100/2000</f>
        <v>2.2176787500000003E-3</v>
      </c>
    </row>
    <row r="45" spans="1:22" x14ac:dyDescent="0.25">
      <c r="A45" s="579" t="s">
        <v>655</v>
      </c>
      <c r="B45" s="446" t="s">
        <v>399</v>
      </c>
      <c r="C45" s="18">
        <f>SUM(E45*1.341)</f>
        <v>335.25</v>
      </c>
      <c r="D45" s="2">
        <f t="shared" si="28"/>
        <v>2346750</v>
      </c>
      <c r="E45">
        <v>250</v>
      </c>
      <c r="F45" s="18">
        <v>1.4</v>
      </c>
      <c r="G45" s="580">
        <f>'EGenerator Raw Data'!H42</f>
        <v>5.8000000000000114</v>
      </c>
      <c r="H45" s="682">
        <f>SUM(F45*G45)</f>
        <v>8.1200000000000152</v>
      </c>
      <c r="I45" s="614">
        <f t="shared" si="48"/>
        <v>1.2586000000000023E-3</v>
      </c>
      <c r="J45" s="615">
        <f t="shared" si="49"/>
        <v>1.1774000000000023E-3</v>
      </c>
      <c r="K45" s="612">
        <f t="shared" si="50"/>
        <v>1.7864000000000036E-2</v>
      </c>
      <c r="L45" s="612">
        <f t="shared" si="51"/>
        <v>3.8570000000000067E-3</v>
      </c>
      <c r="M45" s="612">
        <f t="shared" si="52"/>
        <v>1.7458000000000033E-3</v>
      </c>
      <c r="N45" s="612">
        <f>I45</f>
        <v>1.2586000000000023E-3</v>
      </c>
      <c r="O45" s="613">
        <f t="shared" si="54"/>
        <v>8.526000000000017E-5</v>
      </c>
      <c r="P45" s="18">
        <f t="shared" si="55"/>
        <v>6.5099999999999991E-2</v>
      </c>
      <c r="Q45" s="18">
        <f t="shared" si="56"/>
        <v>6.0899999999999996E-2</v>
      </c>
      <c r="R45" s="18">
        <f t="shared" si="57"/>
        <v>0.92400000000000015</v>
      </c>
      <c r="S45" s="18">
        <f t="shared" si="58"/>
        <v>0.19950000000000001</v>
      </c>
      <c r="T45" s="18">
        <f t="shared" si="59"/>
        <v>9.0299999999999991E-2</v>
      </c>
      <c r="U45" s="18">
        <f>P45</f>
        <v>6.5099999999999991E-2</v>
      </c>
      <c r="V45" s="576">
        <f t="shared" si="61"/>
        <v>4.4099999999999999E-3</v>
      </c>
    </row>
    <row r="46" spans="1:22" x14ac:dyDescent="0.25">
      <c r="A46" s="452" t="s">
        <v>893</v>
      </c>
      <c r="B46" s="446" t="s">
        <v>399</v>
      </c>
      <c r="C46" s="18">
        <f t="shared" si="46"/>
        <v>683.91</v>
      </c>
      <c r="D46" s="2">
        <f t="shared" si="28"/>
        <v>4787370</v>
      </c>
      <c r="E46">
        <v>510</v>
      </c>
      <c r="F46" s="578">
        <f>SUM(D46/1000000)</f>
        <v>4.7873700000000001</v>
      </c>
      <c r="G46" s="580">
        <f>'EGenerator Raw Data'!H52</f>
        <v>7.1999999999999886</v>
      </c>
      <c r="H46" s="682">
        <f t="shared" si="47"/>
        <v>34.469063999999946</v>
      </c>
      <c r="I46" s="614">
        <f t="shared" si="48"/>
        <v>5.3427049199999913E-3</v>
      </c>
      <c r="J46" s="615">
        <f t="shared" si="49"/>
        <v>4.9980142799999914E-3</v>
      </c>
      <c r="K46" s="612">
        <f t="shared" si="50"/>
        <v>7.5831940799999886E-2</v>
      </c>
      <c r="L46" s="612">
        <f t="shared" si="51"/>
        <v>1.6372805399999971E-2</v>
      </c>
      <c r="M46" s="612">
        <f t="shared" si="52"/>
        <v>7.4108487599999877E-3</v>
      </c>
      <c r="N46" s="612">
        <f t="shared" si="53"/>
        <v>5.3427049199999913E-3</v>
      </c>
      <c r="O46" s="613">
        <f t="shared" si="54"/>
        <v>3.6192517199999945E-4</v>
      </c>
      <c r="P46" s="18">
        <f t="shared" si="55"/>
        <v>0.22261270499999999</v>
      </c>
      <c r="Q46" s="18">
        <f t="shared" si="56"/>
        <v>0.20825059499999998</v>
      </c>
      <c r="R46" s="18">
        <f t="shared" si="57"/>
        <v>3.1596642000000004</v>
      </c>
      <c r="S46" s="18">
        <f t="shared" si="58"/>
        <v>0.68220022499999988</v>
      </c>
      <c r="T46" s="18">
        <f t="shared" si="59"/>
        <v>0.30878536500000003</v>
      </c>
      <c r="U46" s="18">
        <f t="shared" si="60"/>
        <v>0.22261270499999999</v>
      </c>
      <c r="V46" s="576">
        <f t="shared" si="61"/>
        <v>1.5080215500000001E-2</v>
      </c>
    </row>
    <row r="47" spans="1:22" x14ac:dyDescent="0.25">
      <c r="A47" s="452" t="s">
        <v>537</v>
      </c>
      <c r="B47" s="446" t="s">
        <v>399</v>
      </c>
      <c r="C47" s="18">
        <f t="shared" si="46"/>
        <v>469.34999999999997</v>
      </c>
      <c r="D47" s="2">
        <f t="shared" si="28"/>
        <v>3285449.9999999995</v>
      </c>
      <c r="E47">
        <v>350</v>
      </c>
      <c r="F47" s="578">
        <f t="shared" ref="F47:F55" si="62">SUM(E47*1.341*7000/1000000)</f>
        <v>3.2854499999999995</v>
      </c>
      <c r="G47" s="580">
        <f>'EGenerator Raw Data'!H6</f>
        <v>1.7000000000000028</v>
      </c>
      <c r="H47" s="682">
        <f t="shared" si="47"/>
        <v>5.5852650000000086</v>
      </c>
      <c r="I47" s="614">
        <f t="shared" si="48"/>
        <v>8.6571607500000132E-4</v>
      </c>
      <c r="J47" s="615">
        <f t="shared" si="49"/>
        <v>8.098634250000012E-4</v>
      </c>
      <c r="K47" s="612">
        <f t="shared" si="50"/>
        <v>1.2287583000000019E-2</v>
      </c>
      <c r="L47" s="612">
        <f t="shared" si="51"/>
        <v>2.6530008750000039E-3</v>
      </c>
      <c r="M47" s="612">
        <f t="shared" si="52"/>
        <v>1.2008319750000018E-3</v>
      </c>
      <c r="N47" s="612">
        <f t="shared" si="53"/>
        <v>8.6571607500000132E-4</v>
      </c>
      <c r="O47" s="613">
        <f t="shared" si="54"/>
        <v>5.8645282500000096E-5</v>
      </c>
      <c r="P47" s="18">
        <f t="shared" si="55"/>
        <v>0.15277342499999996</v>
      </c>
      <c r="Q47" s="18">
        <f t="shared" si="56"/>
        <v>0.14291707499999998</v>
      </c>
      <c r="R47" s="18">
        <f t="shared" si="57"/>
        <v>2.1683970000000001</v>
      </c>
      <c r="S47" s="18">
        <f t="shared" si="58"/>
        <v>0.46817662499999996</v>
      </c>
      <c r="T47" s="18">
        <f t="shared" si="59"/>
        <v>0.21191152499999999</v>
      </c>
      <c r="U47" s="18">
        <f t="shared" si="60"/>
        <v>0.15277342499999996</v>
      </c>
      <c r="V47" s="576">
        <f t="shared" si="61"/>
        <v>1.0349167500000001E-2</v>
      </c>
    </row>
    <row r="48" spans="1:22" s="722" customFormat="1" x14ac:dyDescent="0.25">
      <c r="A48" s="452" t="s">
        <v>656</v>
      </c>
      <c r="B48" s="446" t="s">
        <v>399</v>
      </c>
      <c r="C48" s="18">
        <f t="shared" ref="C48" si="63">SUM(E48*1.341)</f>
        <v>134.1</v>
      </c>
      <c r="D48" s="2">
        <f t="shared" ref="D48" si="64">SUM(C48*7000)</f>
        <v>938700</v>
      </c>
      <c r="E48" s="722">
        <v>100</v>
      </c>
      <c r="F48" s="578">
        <f t="shared" ref="F48" si="65">SUM(E48*1.341*7000/1000000)</f>
        <v>0.93869999999999998</v>
      </c>
      <c r="G48" s="580">
        <f>'EGenerator Raw Data'!H12</f>
        <v>2.1999999999999886</v>
      </c>
      <c r="H48" s="682">
        <f t="shared" ref="H48" si="66">SUM(F48*G48)</f>
        <v>2.0651399999999893</v>
      </c>
      <c r="I48" s="614">
        <f t="shared" si="48"/>
        <v>3.2009669999999836E-4</v>
      </c>
      <c r="J48" s="615">
        <f t="shared" si="49"/>
        <v>2.9944529999999844E-4</v>
      </c>
      <c r="K48" s="612">
        <f t="shared" si="50"/>
        <v>4.5433079999999768E-3</v>
      </c>
      <c r="L48" s="612">
        <f t="shared" si="51"/>
        <v>9.809414999999949E-4</v>
      </c>
      <c r="M48" s="612">
        <f t="shared" si="52"/>
        <v>4.4400509999999773E-4</v>
      </c>
      <c r="N48" s="612">
        <f t="shared" ref="N48" si="67">I48</f>
        <v>3.2009669999999836E-4</v>
      </c>
      <c r="O48" s="613">
        <f t="shared" si="54"/>
        <v>2.1683969999999891E-5</v>
      </c>
      <c r="P48" s="18">
        <f t="shared" si="55"/>
        <v>4.3649550000000002E-2</v>
      </c>
      <c r="Q48" s="18">
        <f t="shared" si="56"/>
        <v>4.083345E-2</v>
      </c>
      <c r="R48" s="18">
        <f t="shared" si="57"/>
        <v>0.61954200000000004</v>
      </c>
      <c r="S48" s="18">
        <f t="shared" si="58"/>
        <v>0.13376474999999999</v>
      </c>
      <c r="T48" s="18">
        <f t="shared" si="59"/>
        <v>6.0546150000000007E-2</v>
      </c>
      <c r="U48" s="18">
        <f t="shared" ref="U48" si="68">P48</f>
        <v>4.3649550000000002E-2</v>
      </c>
      <c r="V48" s="576">
        <f t="shared" si="61"/>
        <v>2.9569050000000001E-3</v>
      </c>
    </row>
    <row r="49" spans="1:22" x14ac:dyDescent="0.25">
      <c r="A49" s="452" t="s">
        <v>733</v>
      </c>
      <c r="B49" s="446" t="s">
        <v>399</v>
      </c>
      <c r="C49" s="18">
        <f t="shared" si="46"/>
        <v>134.1</v>
      </c>
      <c r="D49" s="2">
        <f t="shared" si="28"/>
        <v>938700</v>
      </c>
      <c r="E49">
        <v>100</v>
      </c>
      <c r="F49" s="578">
        <f t="shared" si="62"/>
        <v>0.93869999999999998</v>
      </c>
      <c r="G49" s="580">
        <f>'EGenerator Raw Data'!H28</f>
        <v>12.299999999999997</v>
      </c>
      <c r="H49" s="682">
        <f t="shared" si="47"/>
        <v>11.546009999999997</v>
      </c>
      <c r="I49" s="614">
        <f t="shared" si="48"/>
        <v>1.7896315499999996E-3</v>
      </c>
      <c r="J49" s="615">
        <f t="shared" si="49"/>
        <v>1.6741714499999996E-3</v>
      </c>
      <c r="K49" s="612">
        <f t="shared" si="50"/>
        <v>2.5401221999999998E-2</v>
      </c>
      <c r="L49" s="612">
        <f t="shared" si="51"/>
        <v>5.484354749999999E-3</v>
      </c>
      <c r="M49" s="612">
        <f t="shared" si="52"/>
        <v>2.4823921499999993E-3</v>
      </c>
      <c r="N49" s="612">
        <f t="shared" si="53"/>
        <v>1.7896315499999996E-3</v>
      </c>
      <c r="O49" s="613">
        <f t="shared" si="54"/>
        <v>1.2123310499999998E-4</v>
      </c>
      <c r="P49" s="18">
        <f t="shared" si="55"/>
        <v>4.3649550000000002E-2</v>
      </c>
      <c r="Q49" s="18">
        <f t="shared" si="56"/>
        <v>4.083345E-2</v>
      </c>
      <c r="R49" s="18">
        <f t="shared" si="57"/>
        <v>0.61954200000000004</v>
      </c>
      <c r="S49" s="18">
        <f t="shared" si="58"/>
        <v>0.13376474999999999</v>
      </c>
      <c r="T49" s="18">
        <f t="shared" si="59"/>
        <v>6.0546150000000007E-2</v>
      </c>
      <c r="U49" s="18">
        <f t="shared" si="60"/>
        <v>4.3649550000000002E-2</v>
      </c>
      <c r="V49" s="576">
        <f t="shared" si="61"/>
        <v>2.9569050000000001E-3</v>
      </c>
    </row>
    <row r="50" spans="1:22" x14ac:dyDescent="0.25">
      <c r="A50" s="581" t="s">
        <v>657</v>
      </c>
      <c r="B50" s="446" t="s">
        <v>399</v>
      </c>
      <c r="C50" s="18">
        <f t="shared" si="46"/>
        <v>469.34999999999997</v>
      </c>
      <c r="D50" s="2">
        <f t="shared" si="28"/>
        <v>3285449.9999999995</v>
      </c>
      <c r="E50">
        <v>350</v>
      </c>
      <c r="F50" s="578">
        <f t="shared" si="62"/>
        <v>3.2854499999999995</v>
      </c>
      <c r="G50" s="582">
        <f>'EGenerator Raw Data'!H58</f>
        <v>4.0999999999999996</v>
      </c>
      <c r="H50" s="682">
        <f t="shared" si="47"/>
        <v>13.470344999999996</v>
      </c>
      <c r="I50" s="614">
        <f t="shared" si="48"/>
        <v>2.0879034749999997E-3</v>
      </c>
      <c r="J50" s="615">
        <f t="shared" si="49"/>
        <v>1.9532000249999995E-3</v>
      </c>
      <c r="K50" s="612">
        <f t="shared" si="50"/>
        <v>2.9634758999999997E-2</v>
      </c>
      <c r="L50" s="612">
        <f t="shared" si="51"/>
        <v>6.3984138749999982E-3</v>
      </c>
      <c r="M50" s="612">
        <f t="shared" si="52"/>
        <v>2.8961241749999992E-3</v>
      </c>
      <c r="N50" s="612">
        <f t="shared" si="53"/>
        <v>2.0879034749999997E-3</v>
      </c>
      <c r="O50" s="613">
        <f t="shared" si="54"/>
        <v>1.4143862249999998E-4</v>
      </c>
      <c r="P50" s="18">
        <f t="shared" si="55"/>
        <v>0.15277342499999996</v>
      </c>
      <c r="Q50" s="18">
        <f t="shared" si="56"/>
        <v>0.14291707499999998</v>
      </c>
      <c r="R50" s="18">
        <f t="shared" si="57"/>
        <v>2.1683970000000001</v>
      </c>
      <c r="S50" s="18">
        <f t="shared" si="58"/>
        <v>0.46817662499999996</v>
      </c>
      <c r="T50" s="18">
        <f t="shared" si="59"/>
        <v>0.21191152499999999</v>
      </c>
      <c r="U50" s="18">
        <f t="shared" si="60"/>
        <v>0.15277342499999996</v>
      </c>
      <c r="V50" s="576">
        <f t="shared" si="61"/>
        <v>1.0349167500000001E-2</v>
      </c>
    </row>
    <row r="51" spans="1:22" x14ac:dyDescent="0.25">
      <c r="A51" s="581" t="s">
        <v>643</v>
      </c>
      <c r="B51" s="446" t="s">
        <v>399</v>
      </c>
      <c r="C51" s="18">
        <f>SUM(E51*1.341)</f>
        <v>134.1</v>
      </c>
      <c r="D51" s="2">
        <f>SUM(C51*7000)</f>
        <v>938700</v>
      </c>
      <c r="E51" s="589">
        <v>100</v>
      </c>
      <c r="F51" s="578">
        <f t="shared" si="62"/>
        <v>0.93869999999999998</v>
      </c>
      <c r="G51" s="582">
        <f>'EGenerator Raw Data'!H22</f>
        <v>2.5999999999999996</v>
      </c>
      <c r="H51" s="682">
        <f t="shared" si="47"/>
        <v>2.4406199999999996</v>
      </c>
      <c r="I51" s="614">
        <f t="shared" si="48"/>
        <v>3.782960999999999E-4</v>
      </c>
      <c r="J51" s="615">
        <f t="shared" si="49"/>
        <v>3.538898999999999E-4</v>
      </c>
      <c r="K51" s="612">
        <f t="shared" si="50"/>
        <v>5.3693639999999989E-3</v>
      </c>
      <c r="L51" s="612">
        <f t="shared" si="51"/>
        <v>1.1592944999999997E-3</v>
      </c>
      <c r="M51" s="612">
        <f t="shared" si="52"/>
        <v>5.2473329999999988E-4</v>
      </c>
      <c r="N51" s="612">
        <f t="shared" si="53"/>
        <v>3.782960999999999E-4</v>
      </c>
      <c r="O51" s="613">
        <f t="shared" si="54"/>
        <v>2.5626509999999997E-5</v>
      </c>
      <c r="P51" s="18">
        <f t="shared" si="55"/>
        <v>4.3649550000000002E-2</v>
      </c>
      <c r="Q51" s="18">
        <f t="shared" si="56"/>
        <v>4.083345E-2</v>
      </c>
      <c r="R51" s="18">
        <f t="shared" si="57"/>
        <v>0.61954200000000004</v>
      </c>
      <c r="S51" s="18">
        <f t="shared" si="58"/>
        <v>0.13376474999999999</v>
      </c>
      <c r="T51" s="18">
        <f t="shared" si="59"/>
        <v>6.0546150000000007E-2</v>
      </c>
      <c r="U51" s="18">
        <f t="shared" si="60"/>
        <v>4.3649550000000002E-2</v>
      </c>
      <c r="V51" s="576">
        <f t="shared" si="61"/>
        <v>2.9569050000000001E-3</v>
      </c>
    </row>
    <row r="52" spans="1:22" x14ac:dyDescent="0.25">
      <c r="A52" s="581" t="s">
        <v>819</v>
      </c>
      <c r="B52" s="446" t="s">
        <v>399</v>
      </c>
      <c r="C52" s="18">
        <f>SUM(E52*1.341)</f>
        <v>201.15</v>
      </c>
      <c r="D52" s="2">
        <f>SUM(C52*7000)</f>
        <v>1408050</v>
      </c>
      <c r="E52">
        <v>150</v>
      </c>
      <c r="F52" s="578">
        <f t="shared" si="62"/>
        <v>1.40805</v>
      </c>
      <c r="G52" s="582">
        <f>'EGenerator Raw Data'!H7</f>
        <v>3.5</v>
      </c>
      <c r="H52" s="682">
        <f t="shared" si="47"/>
        <v>4.9281750000000004</v>
      </c>
      <c r="I52" s="614">
        <f t="shared" si="48"/>
        <v>7.6386712500000004E-4</v>
      </c>
      <c r="J52" s="615">
        <f t="shared" si="49"/>
        <v>7.1458537499999991E-4</v>
      </c>
      <c r="K52" s="612">
        <f t="shared" si="50"/>
        <v>1.0841985000000002E-2</v>
      </c>
      <c r="L52" s="612">
        <f t="shared" si="51"/>
        <v>2.3408831250000001E-3</v>
      </c>
      <c r="M52" s="612">
        <f t="shared" si="52"/>
        <v>1.0595576250000001E-3</v>
      </c>
      <c r="N52" s="612">
        <f t="shared" si="53"/>
        <v>7.6386712500000004E-4</v>
      </c>
      <c r="O52" s="613">
        <f t="shared" si="54"/>
        <v>5.1745837500000008E-5</v>
      </c>
      <c r="P52" s="18">
        <f t="shared" si="55"/>
        <v>6.5474325000000014E-2</v>
      </c>
      <c r="Q52" s="18">
        <f t="shared" si="56"/>
        <v>6.1250174999999997E-2</v>
      </c>
      <c r="R52" s="18">
        <f t="shared" si="57"/>
        <v>0.92931300000000006</v>
      </c>
      <c r="S52" s="18">
        <f t="shared" si="58"/>
        <v>0.20064712499999998</v>
      </c>
      <c r="T52" s="18">
        <f t="shared" si="59"/>
        <v>9.0819225000000003E-2</v>
      </c>
      <c r="U52" s="18">
        <f t="shared" si="60"/>
        <v>6.5474325000000014E-2</v>
      </c>
      <c r="V52" s="576">
        <f t="shared" si="61"/>
        <v>4.4353575000000006E-3</v>
      </c>
    </row>
    <row r="53" spans="1:22" s="725" customFormat="1" x14ac:dyDescent="0.25">
      <c r="A53" s="581" t="s">
        <v>806</v>
      </c>
      <c r="B53" s="446" t="s">
        <v>399</v>
      </c>
      <c r="C53" s="18">
        <f>SUM(E53*1.341)</f>
        <v>402.3</v>
      </c>
      <c r="D53" s="2">
        <f>SUM(C53*7000)</f>
        <v>2816100</v>
      </c>
      <c r="E53" s="725">
        <v>300</v>
      </c>
      <c r="F53" s="578">
        <f t="shared" ref="F53" si="69">SUM(E53*1.341*7000/1000000)</f>
        <v>2.8161</v>
      </c>
      <c r="G53" s="582">
        <f>'EGenerator Raw Data'!H43</f>
        <v>0</v>
      </c>
      <c r="H53" s="682">
        <f>SUM(F53*G53)</f>
        <v>0</v>
      </c>
      <c r="I53" s="614">
        <f t="shared" si="48"/>
        <v>0</v>
      </c>
      <c r="J53" s="615">
        <f t="shared" si="49"/>
        <v>0</v>
      </c>
      <c r="K53" s="612">
        <f t="shared" si="50"/>
        <v>0</v>
      </c>
      <c r="L53" s="612">
        <f t="shared" si="51"/>
        <v>0</v>
      </c>
      <c r="M53" s="612">
        <f t="shared" si="52"/>
        <v>0</v>
      </c>
      <c r="N53" s="612">
        <f>I53</f>
        <v>0</v>
      </c>
      <c r="O53" s="613">
        <f t="shared" si="54"/>
        <v>0</v>
      </c>
      <c r="P53" s="18">
        <f t="shared" si="55"/>
        <v>0.13094865000000003</v>
      </c>
      <c r="Q53" s="18">
        <f t="shared" si="56"/>
        <v>0.12250034999999999</v>
      </c>
      <c r="R53" s="18">
        <f t="shared" si="57"/>
        <v>1.8586260000000001</v>
      </c>
      <c r="S53" s="18">
        <f t="shared" si="58"/>
        <v>0.40129424999999996</v>
      </c>
      <c r="T53" s="18">
        <f t="shared" si="59"/>
        <v>0.18163845000000001</v>
      </c>
      <c r="U53" s="18">
        <f>P53</f>
        <v>0.13094865000000003</v>
      </c>
      <c r="V53" s="576">
        <f t="shared" si="61"/>
        <v>8.8707150000000012E-3</v>
      </c>
    </row>
    <row r="54" spans="1:22" x14ac:dyDescent="0.25">
      <c r="A54" s="581" t="s">
        <v>820</v>
      </c>
      <c r="B54" s="446" t="s">
        <v>399</v>
      </c>
      <c r="C54" s="18">
        <f>SUM(E54*1.341)</f>
        <v>268.2</v>
      </c>
      <c r="D54" s="2">
        <f>SUM(C54*7000)</f>
        <v>1877400</v>
      </c>
      <c r="E54">
        <v>200</v>
      </c>
      <c r="F54" s="578">
        <f t="shared" si="62"/>
        <v>1.8774</v>
      </c>
      <c r="G54" s="582">
        <f>'EGenerator Raw Data'!H31</f>
        <v>10.100000000000001</v>
      </c>
      <c r="H54" s="682">
        <f>SUM(F54*G54)</f>
        <v>18.961740000000002</v>
      </c>
      <c r="I54" s="614">
        <f t="shared" si="48"/>
        <v>2.9390697000000006E-3</v>
      </c>
      <c r="J54" s="615">
        <f t="shared" si="49"/>
        <v>2.7494523E-3</v>
      </c>
      <c r="K54" s="612">
        <f t="shared" si="50"/>
        <v>4.171582800000001E-2</v>
      </c>
      <c r="L54" s="612">
        <f t="shared" si="51"/>
        <v>9.0068265000000005E-3</v>
      </c>
      <c r="M54" s="612">
        <f t="shared" si="52"/>
        <v>4.0767741000000005E-3</v>
      </c>
      <c r="N54" s="612">
        <f>I54</f>
        <v>2.9390697000000006E-3</v>
      </c>
      <c r="O54" s="613">
        <f t="shared" si="54"/>
        <v>1.9909827000000004E-4</v>
      </c>
      <c r="P54" s="18">
        <f t="shared" si="55"/>
        <v>8.7299100000000004E-2</v>
      </c>
      <c r="Q54" s="18">
        <f t="shared" si="56"/>
        <v>8.1666900000000001E-2</v>
      </c>
      <c r="R54" s="18">
        <f t="shared" si="57"/>
        <v>1.2390840000000001</v>
      </c>
      <c r="S54" s="18">
        <f t="shared" si="58"/>
        <v>0.26752949999999998</v>
      </c>
      <c r="T54" s="18">
        <f t="shared" si="59"/>
        <v>0.12109230000000001</v>
      </c>
      <c r="U54" s="18">
        <f>P54</f>
        <v>8.7299100000000004E-2</v>
      </c>
      <c r="V54" s="576">
        <f t="shared" si="61"/>
        <v>5.9138100000000002E-3</v>
      </c>
    </row>
    <row r="55" spans="1:22" ht="15.75" thickBot="1" x14ac:dyDescent="0.3">
      <c r="A55" s="585" t="s">
        <v>809</v>
      </c>
      <c r="B55" s="559" t="s">
        <v>399</v>
      </c>
      <c r="C55" s="560">
        <f>SUM(E55*1.341)</f>
        <v>241.38</v>
      </c>
      <c r="D55" s="561">
        <f>SUM(C55*7000)</f>
        <v>1689660</v>
      </c>
      <c r="E55" s="520">
        <v>180</v>
      </c>
      <c r="F55" s="562">
        <f t="shared" si="62"/>
        <v>1.6896599999999999</v>
      </c>
      <c r="G55" s="590">
        <f>'EGenerator Raw Data'!H46</f>
        <v>35.800000000000011</v>
      </c>
      <c r="H55" s="708">
        <f>SUM(F55*G55)</f>
        <v>60.489828000000017</v>
      </c>
      <c r="I55" s="606">
        <f t="shared" si="48"/>
        <v>9.3759233400000017E-3</v>
      </c>
      <c r="J55" s="607">
        <f t="shared" si="49"/>
        <v>8.7710250600000015E-3</v>
      </c>
      <c r="K55" s="608">
        <f t="shared" si="50"/>
        <v>0.13307762160000006</v>
      </c>
      <c r="L55" s="608">
        <f t="shared" si="51"/>
        <v>2.8732668300000007E-2</v>
      </c>
      <c r="M55" s="608">
        <f t="shared" si="52"/>
        <v>1.3005313020000003E-2</v>
      </c>
      <c r="N55" s="608">
        <f>I55</f>
        <v>9.3759233400000017E-3</v>
      </c>
      <c r="O55" s="609">
        <f t="shared" si="54"/>
        <v>6.3514319400000021E-4</v>
      </c>
      <c r="P55" s="560">
        <f t="shared" si="55"/>
        <v>7.8569189999999997E-2</v>
      </c>
      <c r="Q55" s="560">
        <f t="shared" si="56"/>
        <v>7.3500209999999996E-2</v>
      </c>
      <c r="R55" s="560">
        <f t="shared" si="57"/>
        <v>1.1151755999999999</v>
      </c>
      <c r="S55" s="560">
        <f t="shared" si="58"/>
        <v>0.24077654999999998</v>
      </c>
      <c r="T55" s="560">
        <f t="shared" si="59"/>
        <v>0.10898307</v>
      </c>
      <c r="U55" s="560">
        <f>P55</f>
        <v>7.8569189999999997E-2</v>
      </c>
      <c r="V55" s="564">
        <f t="shared" si="61"/>
        <v>5.322429E-3</v>
      </c>
    </row>
    <row r="56" spans="1:22" ht="15.75" thickTop="1" x14ac:dyDescent="0.25">
      <c r="A56" s="452"/>
      <c r="B56" s="446"/>
      <c r="C56" s="18"/>
      <c r="D56" s="2"/>
      <c r="E56" s="565" t="s">
        <v>538</v>
      </c>
      <c r="F56" s="573">
        <f t="shared" ref="F56:V56" si="70">SUM(F44:F55)</f>
        <v>24.069604999999999</v>
      </c>
      <c r="G56" s="591">
        <f t="shared" si="70"/>
        <v>93.300000000000011</v>
      </c>
      <c r="H56" s="709">
        <f t="shared" si="70"/>
        <v>167.70838699999996</v>
      </c>
      <c r="I56" s="568">
        <f t="shared" si="70"/>
        <v>2.5994799984999994E-2</v>
      </c>
      <c r="J56" s="568">
        <f t="shared" si="70"/>
        <v>2.4317716114999992E-2</v>
      </c>
      <c r="K56" s="568">
        <f t="shared" si="70"/>
        <v>0.36895845139999994</v>
      </c>
      <c r="L56" s="568">
        <f t="shared" si="70"/>
        <v>7.966148382499999E-2</v>
      </c>
      <c r="M56" s="568">
        <f t="shared" si="70"/>
        <v>3.6057303204999988E-2</v>
      </c>
      <c r="N56" s="568">
        <f t="shared" si="70"/>
        <v>2.5994799984999994E-2</v>
      </c>
      <c r="O56" s="568">
        <f t="shared" si="70"/>
        <v>1.7609380634999998E-3</v>
      </c>
      <c r="P56" s="573">
        <f t="shared" si="70"/>
        <v>1.1192366325000001</v>
      </c>
      <c r="Q56" s="573">
        <f t="shared" si="70"/>
        <v>1.0470278174999998</v>
      </c>
      <c r="R56" s="573">
        <f t="shared" si="70"/>
        <v>15.885939300000002</v>
      </c>
      <c r="S56" s="573">
        <f t="shared" si="70"/>
        <v>3.4299187124999997</v>
      </c>
      <c r="T56" s="573">
        <f t="shared" si="70"/>
        <v>1.5524895224999999</v>
      </c>
      <c r="U56" s="573">
        <f t="shared" si="70"/>
        <v>1.1192366325000001</v>
      </c>
      <c r="V56" s="574">
        <f t="shared" si="70"/>
        <v>7.5819255750000022E-2</v>
      </c>
    </row>
    <row r="57" spans="1:22" s="781" customFormat="1" x14ac:dyDescent="0.25">
      <c r="A57" s="452"/>
      <c r="B57" s="446"/>
      <c r="C57" s="18"/>
      <c r="D57" s="2"/>
      <c r="E57" s="565"/>
      <c r="F57" s="788">
        <f>F56/0.139</f>
        <v>173.16262589928056</v>
      </c>
      <c r="G57" s="663" t="s">
        <v>212</v>
      </c>
      <c r="H57" s="789">
        <f>H56/0.139</f>
        <v>1206.5351582733808</v>
      </c>
      <c r="I57" s="568"/>
      <c r="J57" s="568"/>
      <c r="K57" s="568"/>
      <c r="L57" s="568"/>
      <c r="M57" s="568"/>
      <c r="N57" s="568"/>
      <c r="O57" s="568"/>
      <c r="P57" s="573"/>
      <c r="Q57" s="573"/>
      <c r="R57" s="573"/>
      <c r="S57" s="573"/>
      <c r="T57" s="573"/>
      <c r="U57" s="573"/>
      <c r="V57" s="574"/>
    </row>
    <row r="58" spans="1:22" x14ac:dyDescent="0.25">
      <c r="A58" s="554" t="s">
        <v>675</v>
      </c>
      <c r="B58" s="446"/>
      <c r="C58" s="18"/>
      <c r="D58" s="2"/>
      <c r="F58" s="578"/>
      <c r="H58" s="682"/>
      <c r="I58" s="614"/>
      <c r="J58" s="615"/>
      <c r="K58" s="612"/>
      <c r="L58" s="612"/>
      <c r="M58" s="612"/>
      <c r="N58" s="612"/>
      <c r="O58" s="613"/>
      <c r="P58" s="18"/>
      <c r="Q58" s="18"/>
      <c r="R58" s="18"/>
      <c r="S58" s="18"/>
      <c r="T58" s="18"/>
      <c r="U58" s="18"/>
      <c r="V58" s="576"/>
    </row>
    <row r="59" spans="1:22" x14ac:dyDescent="0.25">
      <c r="A59" s="452" t="s">
        <v>539</v>
      </c>
      <c r="B59" s="446" t="s">
        <v>399</v>
      </c>
      <c r="C59" s="18">
        <f t="shared" ref="C59:C76" si="71">SUM(E59*1.341)</f>
        <v>241.38</v>
      </c>
      <c r="D59" s="2">
        <f t="shared" si="28"/>
        <v>1689660</v>
      </c>
      <c r="E59">
        <v>180</v>
      </c>
      <c r="F59" s="578">
        <f t="shared" ref="F59:F72" si="72">SUM(D59/1000000)</f>
        <v>1.6896599999999999</v>
      </c>
      <c r="G59" s="580">
        <f>'EGenerator Raw Data'!H11</f>
        <v>3.3999999999999986</v>
      </c>
      <c r="H59" s="682">
        <f t="shared" ref="H59:H74" si="73">SUM(F59*G59)</f>
        <v>5.744843999999997</v>
      </c>
      <c r="I59" s="614">
        <f t="shared" ref="I59:I76" si="74">(H59*$B$94)/2000</f>
        <v>8.9045081999999953E-4</v>
      </c>
      <c r="J59" s="615">
        <f t="shared" ref="J59:J76" si="75">H59*$B$95/2000</f>
        <v>8.3300237999999946E-4</v>
      </c>
      <c r="K59" s="612">
        <f t="shared" ref="K59:K76" si="76">H59*$B$96/2000</f>
        <v>1.2638656799999995E-2</v>
      </c>
      <c r="L59" s="612">
        <f t="shared" ref="L59:L76" si="77">H59*$B$97/2000</f>
        <v>2.7288008999999985E-3</v>
      </c>
      <c r="M59" s="612">
        <f t="shared" ref="M59:M76" si="78">H59*$B$98/2000</f>
        <v>1.2351414599999992E-3</v>
      </c>
      <c r="N59" s="612">
        <f t="shared" ref="N59:N74" si="79">I59</f>
        <v>8.9045081999999953E-4</v>
      </c>
      <c r="O59" s="613">
        <f t="shared" ref="O59:O76" si="80">H59*$B$100/2000</f>
        <v>6.0320861999999976E-5</v>
      </c>
      <c r="P59" s="18">
        <f t="shared" ref="P59:P76" si="81">F59*300*$B$94/2000</f>
        <v>7.8569189999999997E-2</v>
      </c>
      <c r="Q59" s="18">
        <f t="shared" ref="Q59:Q76" si="82">F59*300*$B$95/2000</f>
        <v>7.3500209999999996E-2</v>
      </c>
      <c r="R59" s="18">
        <f t="shared" ref="R59:R76" si="83">F59*300*$B$96/2000</f>
        <v>1.1151755999999999</v>
      </c>
      <c r="S59" s="18">
        <f t="shared" ref="S59:S76" si="84">F59*300*$B$97/2000</f>
        <v>0.24077654999999998</v>
      </c>
      <c r="T59" s="18">
        <f t="shared" ref="T59:T76" si="85">F59*300*$B$98/2000</f>
        <v>0.10898307</v>
      </c>
      <c r="U59" s="18">
        <f t="shared" ref="U59:U74" si="86">P59</f>
        <v>7.8569189999999997E-2</v>
      </c>
      <c r="V59" s="576">
        <f t="shared" ref="V59:V76" si="87">F59*300*$B$100/2000</f>
        <v>5.322429E-3</v>
      </c>
    </row>
    <row r="60" spans="1:22" x14ac:dyDescent="0.25">
      <c r="A60" s="452" t="s">
        <v>540</v>
      </c>
      <c r="B60" s="446" t="s">
        <v>399</v>
      </c>
      <c r="C60" s="18">
        <f t="shared" si="71"/>
        <v>46.935000000000002</v>
      </c>
      <c r="D60" s="2">
        <f t="shared" si="28"/>
        <v>328545</v>
      </c>
      <c r="E60">
        <v>35</v>
      </c>
      <c r="F60" s="578">
        <f t="shared" si="72"/>
        <v>0.32854499999999998</v>
      </c>
      <c r="G60" s="580">
        <f>'EGenerator Raw Data'!H13</f>
        <v>17.799999999999997</v>
      </c>
      <c r="H60" s="682">
        <f t="shared" si="73"/>
        <v>5.8481009999999989</v>
      </c>
      <c r="I60" s="614">
        <f t="shared" si="74"/>
        <v>9.0645565499999979E-4</v>
      </c>
      <c r="J60" s="615">
        <f t="shared" si="75"/>
        <v>8.4797464499999974E-4</v>
      </c>
      <c r="K60" s="612">
        <f t="shared" si="76"/>
        <v>1.2865822199999998E-2</v>
      </c>
      <c r="L60" s="612">
        <f t="shared" si="77"/>
        <v>2.7778479749999995E-3</v>
      </c>
      <c r="M60" s="612">
        <f t="shared" si="78"/>
        <v>1.2573417149999997E-3</v>
      </c>
      <c r="N60" s="612">
        <f t="shared" si="79"/>
        <v>9.0645565499999979E-4</v>
      </c>
      <c r="O60" s="613">
        <f t="shared" si="80"/>
        <v>6.1405060499999988E-5</v>
      </c>
      <c r="P60" s="18">
        <f t="shared" si="81"/>
        <v>1.5277342499999997E-2</v>
      </c>
      <c r="Q60" s="18">
        <f t="shared" si="82"/>
        <v>1.4291707499999997E-2</v>
      </c>
      <c r="R60" s="18">
        <f t="shared" si="83"/>
        <v>0.2168397</v>
      </c>
      <c r="S60" s="18">
        <f t="shared" si="84"/>
        <v>4.6817662499999989E-2</v>
      </c>
      <c r="T60" s="18">
        <f t="shared" si="85"/>
        <v>2.1191152499999998E-2</v>
      </c>
      <c r="U60" s="18">
        <f t="shared" si="86"/>
        <v>1.5277342499999997E-2</v>
      </c>
      <c r="V60" s="576">
        <f t="shared" si="87"/>
        <v>1.0349167500000001E-3</v>
      </c>
    </row>
    <row r="61" spans="1:22" x14ac:dyDescent="0.25">
      <c r="A61" s="452" t="s">
        <v>541</v>
      </c>
      <c r="B61" s="446" t="s">
        <v>399</v>
      </c>
      <c r="C61" s="18">
        <f t="shared" si="71"/>
        <v>268.2</v>
      </c>
      <c r="D61" s="2">
        <f t="shared" si="28"/>
        <v>1877400</v>
      </c>
      <c r="E61">
        <v>200</v>
      </c>
      <c r="F61" s="578">
        <f t="shared" si="72"/>
        <v>1.8774</v>
      </c>
      <c r="G61" s="580">
        <f>'EGenerator Raw Data'!H14</f>
        <v>2.7999999999999972</v>
      </c>
      <c r="H61" s="682">
        <f t="shared" si="73"/>
        <v>5.2567199999999943</v>
      </c>
      <c r="I61" s="614">
        <f t="shared" si="74"/>
        <v>8.1479159999999905E-4</v>
      </c>
      <c r="J61" s="615">
        <f t="shared" si="75"/>
        <v>7.6222439999999909E-4</v>
      </c>
      <c r="K61" s="612">
        <f t="shared" si="76"/>
        <v>1.1564783999999989E-2</v>
      </c>
      <c r="L61" s="612">
        <f t="shared" si="77"/>
        <v>2.4969419999999972E-3</v>
      </c>
      <c r="M61" s="612">
        <f t="shared" si="78"/>
        <v>1.1301947999999989E-3</v>
      </c>
      <c r="N61" s="612">
        <f t="shared" si="79"/>
        <v>8.1479159999999905E-4</v>
      </c>
      <c r="O61" s="613">
        <f t="shared" si="80"/>
        <v>5.519555999999994E-5</v>
      </c>
      <c r="P61" s="18">
        <f t="shared" si="81"/>
        <v>8.7299100000000004E-2</v>
      </c>
      <c r="Q61" s="18">
        <f t="shared" si="82"/>
        <v>8.1666900000000001E-2</v>
      </c>
      <c r="R61" s="18">
        <f t="shared" si="83"/>
        <v>1.2390840000000001</v>
      </c>
      <c r="S61" s="18">
        <f t="shared" si="84"/>
        <v>0.26752949999999998</v>
      </c>
      <c r="T61" s="18">
        <f t="shared" si="85"/>
        <v>0.12109230000000001</v>
      </c>
      <c r="U61" s="18">
        <f t="shared" si="86"/>
        <v>8.7299100000000004E-2</v>
      </c>
      <c r="V61" s="576">
        <f t="shared" si="87"/>
        <v>5.9138100000000002E-3</v>
      </c>
    </row>
    <row r="62" spans="1:22" x14ac:dyDescent="0.25">
      <c r="A62" s="452" t="s">
        <v>542</v>
      </c>
      <c r="B62" s="446" t="s">
        <v>528</v>
      </c>
      <c r="C62" s="18">
        <f t="shared" si="71"/>
        <v>20.114999999999998</v>
      </c>
      <c r="D62" s="2">
        <f t="shared" si="28"/>
        <v>140805</v>
      </c>
      <c r="E62">
        <v>15</v>
      </c>
      <c r="F62" s="578">
        <f t="shared" si="72"/>
        <v>0.14080500000000001</v>
      </c>
      <c r="G62" s="580">
        <f>'EGenerator Raw Data'!H20</f>
        <v>2.9000000000000057</v>
      </c>
      <c r="H62" s="682">
        <f t="shared" si="73"/>
        <v>0.40833450000000082</v>
      </c>
      <c r="I62" s="614">
        <f t="shared" si="74"/>
        <v>6.3291847500000125E-5</v>
      </c>
      <c r="J62" s="615">
        <f t="shared" si="75"/>
        <v>5.9208502500000113E-5</v>
      </c>
      <c r="K62" s="612">
        <f t="shared" si="76"/>
        <v>8.9833590000000182E-4</v>
      </c>
      <c r="L62" s="612">
        <f t="shared" si="77"/>
        <v>1.9395888750000037E-4</v>
      </c>
      <c r="M62" s="612">
        <f t="shared" si="78"/>
        <v>8.7791917500000183E-5</v>
      </c>
      <c r="N62" s="612">
        <f t="shared" si="79"/>
        <v>6.3291847500000125E-5</v>
      </c>
      <c r="O62" s="613">
        <f t="shared" si="80"/>
        <v>4.2875122500000087E-6</v>
      </c>
      <c r="P62" s="18">
        <f t="shared" si="81"/>
        <v>6.5474325000000003E-3</v>
      </c>
      <c r="Q62" s="18">
        <f t="shared" si="82"/>
        <v>6.1250175000000006E-3</v>
      </c>
      <c r="R62" s="18">
        <f t="shared" si="83"/>
        <v>9.2931300000000008E-2</v>
      </c>
      <c r="S62" s="18">
        <f t="shared" si="84"/>
        <v>2.0064712499999998E-2</v>
      </c>
      <c r="T62" s="18">
        <f t="shared" si="85"/>
        <v>9.0819225000000007E-3</v>
      </c>
      <c r="U62" s="18">
        <f t="shared" si="86"/>
        <v>6.5474325000000003E-3</v>
      </c>
      <c r="V62" s="576">
        <f t="shared" si="87"/>
        <v>4.4353575000000004E-4</v>
      </c>
    </row>
    <row r="63" spans="1:22" x14ac:dyDescent="0.25">
      <c r="A63" s="452" t="s">
        <v>644</v>
      </c>
      <c r="B63" s="446" t="s">
        <v>528</v>
      </c>
      <c r="C63" s="18">
        <f t="shared" si="71"/>
        <v>268.2</v>
      </c>
      <c r="D63" s="2">
        <f t="shared" si="28"/>
        <v>1877400</v>
      </c>
      <c r="E63">
        <v>200</v>
      </c>
      <c r="F63" s="578">
        <f t="shared" si="72"/>
        <v>1.8774</v>
      </c>
      <c r="G63" s="580">
        <f>'EGenerator Raw Data'!H25</f>
        <v>2.2999999999999972</v>
      </c>
      <c r="H63" s="682">
        <f t="shared" si="73"/>
        <v>4.3180199999999944</v>
      </c>
      <c r="I63" s="614">
        <f t="shared" si="74"/>
        <v>6.6929309999999912E-4</v>
      </c>
      <c r="J63" s="615">
        <f t="shared" si="75"/>
        <v>6.2611289999999918E-4</v>
      </c>
      <c r="K63" s="612">
        <f t="shared" si="76"/>
        <v>9.4996439999999894E-3</v>
      </c>
      <c r="L63" s="612">
        <f t="shared" si="77"/>
        <v>2.0510594999999972E-3</v>
      </c>
      <c r="M63" s="612">
        <f t="shared" si="78"/>
        <v>9.2837429999999873E-4</v>
      </c>
      <c r="N63" s="612">
        <f t="shared" si="79"/>
        <v>6.6929309999999912E-4</v>
      </c>
      <c r="O63" s="613">
        <f t="shared" si="80"/>
        <v>4.5339209999999941E-5</v>
      </c>
      <c r="P63" s="18">
        <f t="shared" si="81"/>
        <v>8.7299100000000004E-2</v>
      </c>
      <c r="Q63" s="18">
        <f t="shared" si="82"/>
        <v>8.1666900000000001E-2</v>
      </c>
      <c r="R63" s="18">
        <f t="shared" si="83"/>
        <v>1.2390840000000001</v>
      </c>
      <c r="S63" s="18">
        <f t="shared" si="84"/>
        <v>0.26752949999999998</v>
      </c>
      <c r="T63" s="18">
        <f t="shared" si="85"/>
        <v>0.12109230000000001</v>
      </c>
      <c r="U63" s="18">
        <f t="shared" si="86"/>
        <v>8.7299100000000004E-2</v>
      </c>
      <c r="V63" s="576">
        <f t="shared" si="87"/>
        <v>5.9138100000000002E-3</v>
      </c>
    </row>
    <row r="64" spans="1:22" x14ac:dyDescent="0.25">
      <c r="A64" s="452" t="s">
        <v>1048</v>
      </c>
      <c r="B64" s="446" t="s">
        <v>399</v>
      </c>
      <c r="C64" s="18">
        <f t="shared" si="71"/>
        <v>201.15</v>
      </c>
      <c r="D64" s="2">
        <f t="shared" si="28"/>
        <v>1408050</v>
      </c>
      <c r="E64">
        <v>150</v>
      </c>
      <c r="F64" s="578">
        <f t="shared" si="72"/>
        <v>1.40805</v>
      </c>
      <c r="G64" s="580">
        <f>'EGenerator Raw Data'!H27</f>
        <v>4.0999999999999996</v>
      </c>
      <c r="H64" s="682">
        <f t="shared" si="73"/>
        <v>5.7730049999999995</v>
      </c>
      <c r="I64" s="614">
        <f t="shared" si="74"/>
        <v>8.9481577499999992E-4</v>
      </c>
      <c r="J64" s="615">
        <f t="shared" si="75"/>
        <v>8.3708572499999992E-4</v>
      </c>
      <c r="K64" s="612">
        <f t="shared" si="76"/>
        <v>1.2700611000000001E-2</v>
      </c>
      <c r="L64" s="612">
        <f t="shared" si="77"/>
        <v>2.742177375E-3</v>
      </c>
      <c r="M64" s="612">
        <f t="shared" si="78"/>
        <v>1.2411960749999999E-3</v>
      </c>
      <c r="N64" s="612">
        <f t="shared" si="79"/>
        <v>8.9481577499999992E-4</v>
      </c>
      <c r="O64" s="613">
        <f t="shared" si="80"/>
        <v>6.0616552499999998E-5</v>
      </c>
      <c r="P64" s="18">
        <f t="shared" si="81"/>
        <v>6.5474325000000014E-2</v>
      </c>
      <c r="Q64" s="18">
        <f t="shared" si="82"/>
        <v>6.1250174999999997E-2</v>
      </c>
      <c r="R64" s="18">
        <f t="shared" si="83"/>
        <v>0.92931300000000006</v>
      </c>
      <c r="S64" s="18">
        <f t="shared" si="84"/>
        <v>0.20064712499999998</v>
      </c>
      <c r="T64" s="18">
        <f t="shared" si="85"/>
        <v>9.0819225000000003E-2</v>
      </c>
      <c r="U64" s="18">
        <f t="shared" si="86"/>
        <v>6.5474325000000014E-2</v>
      </c>
      <c r="V64" s="576">
        <f t="shared" si="87"/>
        <v>4.4353575000000006E-3</v>
      </c>
    </row>
    <row r="65" spans="1:22" x14ac:dyDescent="0.25">
      <c r="A65" s="452" t="s">
        <v>543</v>
      </c>
      <c r="B65" s="446" t="s">
        <v>399</v>
      </c>
      <c r="C65" s="18">
        <f t="shared" si="71"/>
        <v>268.2</v>
      </c>
      <c r="D65" s="2">
        <f t="shared" si="28"/>
        <v>1877400</v>
      </c>
      <c r="E65">
        <v>200</v>
      </c>
      <c r="F65" s="578">
        <f t="shared" si="72"/>
        <v>1.8774</v>
      </c>
      <c r="G65" s="580">
        <f>'EGenerator Raw Data'!H40</f>
        <v>5.5</v>
      </c>
      <c r="H65" s="682">
        <f t="shared" si="73"/>
        <v>10.325699999999999</v>
      </c>
      <c r="I65" s="614">
        <f t="shared" si="74"/>
        <v>1.6004834999999999E-3</v>
      </c>
      <c r="J65" s="615">
        <f t="shared" si="75"/>
        <v>1.4972264999999999E-3</v>
      </c>
      <c r="K65" s="612">
        <f t="shared" si="76"/>
        <v>2.271654E-2</v>
      </c>
      <c r="L65" s="612">
        <f t="shared" si="77"/>
        <v>4.9047075000000001E-3</v>
      </c>
      <c r="M65" s="612">
        <f t="shared" si="78"/>
        <v>2.2200254999999998E-3</v>
      </c>
      <c r="N65" s="612">
        <f t="shared" si="79"/>
        <v>1.6004834999999999E-3</v>
      </c>
      <c r="O65" s="613">
        <f t="shared" si="80"/>
        <v>1.0841985E-4</v>
      </c>
      <c r="P65" s="18">
        <f t="shared" si="81"/>
        <v>8.7299100000000004E-2</v>
      </c>
      <c r="Q65" s="18">
        <f t="shared" si="82"/>
        <v>8.1666900000000001E-2</v>
      </c>
      <c r="R65" s="18">
        <f t="shared" si="83"/>
        <v>1.2390840000000001</v>
      </c>
      <c r="S65" s="18">
        <f t="shared" si="84"/>
        <v>0.26752949999999998</v>
      </c>
      <c r="T65" s="18">
        <f t="shared" si="85"/>
        <v>0.12109230000000001</v>
      </c>
      <c r="U65" s="18">
        <f t="shared" si="86"/>
        <v>8.7299100000000004E-2</v>
      </c>
      <c r="V65" s="576">
        <f t="shared" si="87"/>
        <v>5.9138100000000002E-3</v>
      </c>
    </row>
    <row r="66" spans="1:22" x14ac:dyDescent="0.25">
      <c r="A66" s="452" t="s">
        <v>544</v>
      </c>
      <c r="B66" s="446" t="s">
        <v>399</v>
      </c>
      <c r="C66" s="18">
        <f t="shared" si="71"/>
        <v>46.935000000000002</v>
      </c>
      <c r="D66" s="2">
        <f t="shared" si="28"/>
        <v>328545</v>
      </c>
      <c r="E66">
        <v>35</v>
      </c>
      <c r="F66" s="578">
        <f t="shared" si="72"/>
        <v>0.32854499999999998</v>
      </c>
      <c r="G66" s="580">
        <f>'EGenerator Raw Data'!H41</f>
        <v>2.8999999999999986</v>
      </c>
      <c r="H66" s="682">
        <f t="shared" si="73"/>
        <v>0.95278049999999948</v>
      </c>
      <c r="I66" s="614">
        <f t="shared" si="74"/>
        <v>1.4768097749999991E-4</v>
      </c>
      <c r="J66" s="615">
        <f t="shared" si="75"/>
        <v>1.3815317249999992E-4</v>
      </c>
      <c r="K66" s="612">
        <f t="shared" si="76"/>
        <v>2.0961170999999989E-3</v>
      </c>
      <c r="L66" s="612">
        <f t="shared" si="77"/>
        <v>4.5257073749999972E-4</v>
      </c>
      <c r="M66" s="612">
        <f t="shared" si="78"/>
        <v>2.0484780749999989E-4</v>
      </c>
      <c r="N66" s="612">
        <f t="shared" si="79"/>
        <v>1.4768097749999991E-4</v>
      </c>
      <c r="O66" s="613">
        <f t="shared" si="80"/>
        <v>1.0004195249999995E-5</v>
      </c>
      <c r="P66" s="18">
        <f t="shared" si="81"/>
        <v>1.5277342499999997E-2</v>
      </c>
      <c r="Q66" s="18">
        <f t="shared" si="82"/>
        <v>1.4291707499999997E-2</v>
      </c>
      <c r="R66" s="18">
        <f t="shared" si="83"/>
        <v>0.2168397</v>
      </c>
      <c r="S66" s="18">
        <f t="shared" si="84"/>
        <v>4.6817662499999989E-2</v>
      </c>
      <c r="T66" s="18">
        <f t="shared" si="85"/>
        <v>2.1191152499999998E-2</v>
      </c>
      <c r="U66" s="18">
        <f t="shared" si="86"/>
        <v>1.5277342499999997E-2</v>
      </c>
      <c r="V66" s="576">
        <f t="shared" si="87"/>
        <v>1.0349167500000001E-3</v>
      </c>
    </row>
    <row r="67" spans="1:22" x14ac:dyDescent="0.25">
      <c r="A67" s="452" t="s">
        <v>667</v>
      </c>
      <c r="B67" s="446" t="s">
        <v>399</v>
      </c>
      <c r="C67" s="18">
        <f t="shared" si="71"/>
        <v>80.459999999999994</v>
      </c>
      <c r="D67" s="2">
        <f t="shared" si="28"/>
        <v>563220</v>
      </c>
      <c r="E67">
        <v>60</v>
      </c>
      <c r="F67" s="578">
        <f t="shared" si="72"/>
        <v>0.56322000000000005</v>
      </c>
      <c r="G67" s="580">
        <f>'EGenerator Raw Data'!H50</f>
        <v>1.5999999999999943</v>
      </c>
      <c r="H67" s="682">
        <f t="shared" si="73"/>
        <v>0.90115199999999684</v>
      </c>
      <c r="I67" s="614">
        <f t="shared" si="74"/>
        <v>1.3967855999999951E-4</v>
      </c>
      <c r="J67" s="615">
        <f t="shared" si="75"/>
        <v>1.3066703999999954E-4</v>
      </c>
      <c r="K67" s="612">
        <f t="shared" si="76"/>
        <v>1.982534399999993E-3</v>
      </c>
      <c r="L67" s="612">
        <f t="shared" si="77"/>
        <v>4.2804719999999847E-4</v>
      </c>
      <c r="M67" s="612">
        <f t="shared" si="78"/>
        <v>1.9374767999999932E-4</v>
      </c>
      <c r="N67" s="612">
        <f t="shared" si="79"/>
        <v>1.3967855999999951E-4</v>
      </c>
      <c r="O67" s="613">
        <f t="shared" si="80"/>
        <v>9.4620959999999673E-6</v>
      </c>
      <c r="P67" s="18">
        <f t="shared" si="81"/>
        <v>2.6189730000000001E-2</v>
      </c>
      <c r="Q67" s="18">
        <f t="shared" si="82"/>
        <v>2.4500070000000002E-2</v>
      </c>
      <c r="R67" s="18">
        <f t="shared" si="83"/>
        <v>0.37172520000000003</v>
      </c>
      <c r="S67" s="18">
        <f t="shared" si="84"/>
        <v>8.0258849999999993E-2</v>
      </c>
      <c r="T67" s="18">
        <f t="shared" si="85"/>
        <v>3.6327690000000003E-2</v>
      </c>
      <c r="U67" s="18">
        <f t="shared" si="86"/>
        <v>2.6189730000000001E-2</v>
      </c>
      <c r="V67" s="576">
        <f t="shared" si="87"/>
        <v>1.7741430000000002E-3</v>
      </c>
    </row>
    <row r="68" spans="1:22" x14ac:dyDescent="0.25">
      <c r="A68" s="452" t="s">
        <v>545</v>
      </c>
      <c r="B68" s="446" t="s">
        <v>528</v>
      </c>
      <c r="C68" s="18">
        <f t="shared" si="71"/>
        <v>26.82</v>
      </c>
      <c r="D68" s="2">
        <f t="shared" si="28"/>
        <v>187740</v>
      </c>
      <c r="E68">
        <v>20</v>
      </c>
      <c r="F68" s="578">
        <f t="shared" si="72"/>
        <v>0.18773999999999999</v>
      </c>
      <c r="G68" s="580">
        <f>'EGenerator Raw Data'!H48</f>
        <v>12.099999999999994</v>
      </c>
      <c r="H68" s="682">
        <f t="shared" si="73"/>
        <v>2.271653999999999</v>
      </c>
      <c r="I68" s="614">
        <f t="shared" si="74"/>
        <v>3.5210636999999986E-4</v>
      </c>
      <c r="J68" s="615">
        <f t="shared" si="75"/>
        <v>3.2938982999999985E-4</v>
      </c>
      <c r="K68" s="612">
        <f t="shared" si="76"/>
        <v>4.9976387999999981E-3</v>
      </c>
      <c r="L68" s="612">
        <f t="shared" si="77"/>
        <v>1.0790356499999992E-3</v>
      </c>
      <c r="M68" s="612">
        <f t="shared" si="78"/>
        <v>4.8840560999999975E-4</v>
      </c>
      <c r="N68" s="612">
        <f t="shared" si="79"/>
        <v>3.5210636999999986E-4</v>
      </c>
      <c r="O68" s="613">
        <f t="shared" si="80"/>
        <v>2.3852366999999988E-5</v>
      </c>
      <c r="P68" s="18">
        <f t="shared" si="81"/>
        <v>8.7299099999999987E-3</v>
      </c>
      <c r="Q68" s="18">
        <f t="shared" si="82"/>
        <v>8.166689999999999E-3</v>
      </c>
      <c r="R68" s="18">
        <f t="shared" si="83"/>
        <v>0.1239084</v>
      </c>
      <c r="S68" s="18">
        <f t="shared" si="84"/>
        <v>2.6752949999999994E-2</v>
      </c>
      <c r="T68" s="18">
        <f t="shared" si="85"/>
        <v>1.2109229999999999E-2</v>
      </c>
      <c r="U68" s="18">
        <f t="shared" si="86"/>
        <v>8.7299099999999987E-3</v>
      </c>
      <c r="V68" s="576">
        <f t="shared" si="87"/>
        <v>5.9138100000000009E-4</v>
      </c>
    </row>
    <row r="69" spans="1:22" x14ac:dyDescent="0.25">
      <c r="A69" s="452" t="s">
        <v>695</v>
      </c>
      <c r="B69" s="446" t="s">
        <v>401</v>
      </c>
      <c r="C69" s="18">
        <f t="shared" si="71"/>
        <v>20.114999999999998</v>
      </c>
      <c r="D69" s="2">
        <f t="shared" si="28"/>
        <v>140805</v>
      </c>
      <c r="E69">
        <v>15</v>
      </c>
      <c r="F69" s="578">
        <f t="shared" si="72"/>
        <v>0.14080500000000001</v>
      </c>
      <c r="G69" s="580">
        <f>'EGenerator Raw Data'!H49</f>
        <v>3.3999999999999986</v>
      </c>
      <c r="H69" s="682">
        <f t="shared" si="73"/>
        <v>0.47873699999999986</v>
      </c>
      <c r="I69" s="614">
        <f t="shared" si="74"/>
        <v>7.4204234999999979E-5</v>
      </c>
      <c r="J69" s="615">
        <f t="shared" si="75"/>
        <v>6.9416864999999987E-5</v>
      </c>
      <c r="K69" s="612">
        <f t="shared" si="76"/>
        <v>1.0532213999999997E-3</v>
      </c>
      <c r="L69" s="612">
        <f t="shared" si="77"/>
        <v>2.2740007499999992E-4</v>
      </c>
      <c r="M69" s="612">
        <f t="shared" si="78"/>
        <v>1.0292845499999997E-4</v>
      </c>
      <c r="N69" s="612">
        <f t="shared" si="79"/>
        <v>7.4204234999999979E-5</v>
      </c>
      <c r="O69" s="613">
        <f t="shared" si="80"/>
        <v>5.0267384999999991E-6</v>
      </c>
      <c r="P69" s="18">
        <f t="shared" si="81"/>
        <v>6.5474325000000003E-3</v>
      </c>
      <c r="Q69" s="18">
        <f t="shared" si="82"/>
        <v>6.1250175000000006E-3</v>
      </c>
      <c r="R69" s="18">
        <f t="shared" si="83"/>
        <v>9.2931300000000008E-2</v>
      </c>
      <c r="S69" s="18">
        <f t="shared" si="84"/>
        <v>2.0064712499999998E-2</v>
      </c>
      <c r="T69" s="18">
        <f t="shared" si="85"/>
        <v>9.0819225000000007E-3</v>
      </c>
      <c r="U69" s="18">
        <f t="shared" si="86"/>
        <v>6.5474325000000003E-3</v>
      </c>
      <c r="V69" s="576">
        <f t="shared" si="87"/>
        <v>4.4353575000000004E-4</v>
      </c>
    </row>
    <row r="70" spans="1:22" x14ac:dyDescent="0.25">
      <c r="A70" s="579" t="s">
        <v>552</v>
      </c>
      <c r="B70" s="446" t="s">
        <v>399</v>
      </c>
      <c r="C70" s="18">
        <f t="shared" si="71"/>
        <v>134.1</v>
      </c>
      <c r="D70" s="2">
        <f t="shared" si="28"/>
        <v>938700</v>
      </c>
      <c r="E70">
        <v>100</v>
      </c>
      <c r="F70" s="578">
        <f t="shared" si="72"/>
        <v>0.93869999999999998</v>
      </c>
      <c r="G70" s="580">
        <f>'EGenerator Raw Data'!H54</f>
        <v>4.1000000000000014</v>
      </c>
      <c r="H70" s="682">
        <f t="shared" si="73"/>
        <v>3.8486700000000011</v>
      </c>
      <c r="I70" s="614">
        <f t="shared" si="74"/>
        <v>5.9654385000000023E-4</v>
      </c>
      <c r="J70" s="615">
        <f t="shared" si="75"/>
        <v>5.5805715000000009E-4</v>
      </c>
      <c r="K70" s="612">
        <f t="shared" si="76"/>
        <v>8.4670740000000033E-3</v>
      </c>
      <c r="L70" s="612">
        <f t="shared" si="77"/>
        <v>1.8281182500000004E-3</v>
      </c>
      <c r="M70" s="612">
        <f t="shared" si="78"/>
        <v>8.2746405000000021E-4</v>
      </c>
      <c r="N70" s="612">
        <f t="shared" si="79"/>
        <v>5.9654385000000023E-4</v>
      </c>
      <c r="O70" s="613">
        <f t="shared" si="80"/>
        <v>4.0411035000000012E-5</v>
      </c>
      <c r="P70" s="18">
        <f t="shared" si="81"/>
        <v>4.3649550000000002E-2</v>
      </c>
      <c r="Q70" s="18">
        <f t="shared" si="82"/>
        <v>4.083345E-2</v>
      </c>
      <c r="R70" s="18">
        <f t="shared" si="83"/>
        <v>0.61954200000000004</v>
      </c>
      <c r="S70" s="18">
        <f t="shared" si="84"/>
        <v>0.13376474999999999</v>
      </c>
      <c r="T70" s="18">
        <f t="shared" si="85"/>
        <v>6.0546150000000007E-2</v>
      </c>
      <c r="U70" s="18">
        <f t="shared" si="86"/>
        <v>4.3649550000000002E-2</v>
      </c>
      <c r="V70" s="576">
        <f t="shared" si="87"/>
        <v>2.9569050000000001E-3</v>
      </c>
    </row>
    <row r="71" spans="1:22" s="1047" customFormat="1" x14ac:dyDescent="0.25">
      <c r="A71" s="1048" t="s">
        <v>1041</v>
      </c>
      <c r="B71" s="446" t="s">
        <v>401</v>
      </c>
      <c r="C71" s="18">
        <f t="shared" ref="C71" si="88">SUM(E71*1.341)</f>
        <v>8.0459999999999994</v>
      </c>
      <c r="D71" s="2">
        <f t="shared" ref="D71" si="89">SUM(C71*7000)</f>
        <v>56321.999999999993</v>
      </c>
      <c r="E71" s="1047">
        <v>6</v>
      </c>
      <c r="F71" s="578">
        <f t="shared" ref="F71" si="90">SUM(D71/1000000)</f>
        <v>5.632199999999999E-2</v>
      </c>
      <c r="G71" s="580">
        <f>'EGenerator Raw Data'!H56</f>
        <v>8.5</v>
      </c>
      <c r="H71" s="682">
        <f t="shared" ref="H71" si="91">SUM(F71*G71)</f>
        <v>0.47873699999999991</v>
      </c>
      <c r="I71" s="614">
        <f t="shared" si="74"/>
        <v>7.4204234999999979E-5</v>
      </c>
      <c r="J71" s="615">
        <f t="shared" si="75"/>
        <v>6.9416864999999987E-5</v>
      </c>
      <c r="K71" s="612">
        <f t="shared" si="76"/>
        <v>1.0532213999999999E-3</v>
      </c>
      <c r="L71" s="612">
        <f t="shared" si="77"/>
        <v>2.2740007499999994E-4</v>
      </c>
      <c r="M71" s="612">
        <f t="shared" si="78"/>
        <v>1.0292845499999997E-4</v>
      </c>
      <c r="N71" s="612">
        <f t="shared" ref="N71" si="92">I71</f>
        <v>7.4204234999999979E-5</v>
      </c>
      <c r="O71" s="613">
        <f t="shared" si="80"/>
        <v>5.0267384999999991E-6</v>
      </c>
      <c r="P71" s="18">
        <f t="shared" si="81"/>
        <v>2.6189729999999997E-3</v>
      </c>
      <c r="Q71" s="18">
        <f t="shared" si="82"/>
        <v>2.4500069999999993E-3</v>
      </c>
      <c r="R71" s="18">
        <f t="shared" si="83"/>
        <v>3.7172519999999994E-2</v>
      </c>
      <c r="S71" s="18">
        <f t="shared" si="84"/>
        <v>8.0258849999999965E-3</v>
      </c>
      <c r="T71" s="18">
        <f t="shared" si="85"/>
        <v>3.6327689999999992E-3</v>
      </c>
      <c r="U71" s="18">
        <f t="shared" ref="U71" si="93">P71</f>
        <v>2.6189729999999997E-3</v>
      </c>
      <c r="V71" s="576">
        <f t="shared" si="87"/>
        <v>1.7741429999999997E-4</v>
      </c>
    </row>
    <row r="72" spans="1:22" x14ac:dyDescent="0.25">
      <c r="A72" s="452" t="s">
        <v>546</v>
      </c>
      <c r="B72" s="446" t="s">
        <v>401</v>
      </c>
      <c r="C72" s="18">
        <f t="shared" si="71"/>
        <v>40.229999999999997</v>
      </c>
      <c r="D72" s="2">
        <f t="shared" si="28"/>
        <v>281610</v>
      </c>
      <c r="E72">
        <v>30</v>
      </c>
      <c r="F72" s="578">
        <f t="shared" si="72"/>
        <v>0.28161000000000003</v>
      </c>
      <c r="G72" s="580">
        <f>'EGenerator Raw Data'!H57</f>
        <v>1</v>
      </c>
      <c r="H72" s="682">
        <f t="shared" si="73"/>
        <v>0.28161000000000003</v>
      </c>
      <c r="I72" s="614">
        <f t="shared" si="74"/>
        <v>4.364955E-5</v>
      </c>
      <c r="J72" s="615">
        <f t="shared" si="75"/>
        <v>4.0833449999999998E-5</v>
      </c>
      <c r="K72" s="612">
        <f t="shared" si="76"/>
        <v>6.1954200000000016E-4</v>
      </c>
      <c r="L72" s="612">
        <f t="shared" si="77"/>
        <v>1.3376475000000001E-4</v>
      </c>
      <c r="M72" s="612">
        <f t="shared" si="78"/>
        <v>6.054615000000001E-5</v>
      </c>
      <c r="N72" s="612">
        <f t="shared" si="79"/>
        <v>4.364955E-5</v>
      </c>
      <c r="O72" s="613">
        <f t="shared" si="80"/>
        <v>2.9569050000000004E-6</v>
      </c>
      <c r="P72" s="18">
        <f t="shared" si="81"/>
        <v>1.3094865000000001E-2</v>
      </c>
      <c r="Q72" s="18">
        <f t="shared" si="82"/>
        <v>1.2250035000000001E-2</v>
      </c>
      <c r="R72" s="18">
        <f t="shared" si="83"/>
        <v>0.18586260000000002</v>
      </c>
      <c r="S72" s="18">
        <f t="shared" si="84"/>
        <v>4.0129424999999996E-2</v>
      </c>
      <c r="T72" s="18">
        <f t="shared" si="85"/>
        <v>1.8163845000000001E-2</v>
      </c>
      <c r="U72" s="18">
        <f t="shared" si="86"/>
        <v>1.3094865000000001E-2</v>
      </c>
      <c r="V72" s="576">
        <f t="shared" si="87"/>
        <v>8.8707150000000008E-4</v>
      </c>
    </row>
    <row r="73" spans="1:22" x14ac:dyDescent="0.25">
      <c r="A73" s="452" t="s">
        <v>547</v>
      </c>
      <c r="B73" s="446" t="s">
        <v>548</v>
      </c>
      <c r="C73" s="18">
        <f t="shared" si="71"/>
        <v>201.15</v>
      </c>
      <c r="D73" s="2">
        <f t="shared" si="28"/>
        <v>1408050</v>
      </c>
      <c r="E73">
        <v>150</v>
      </c>
      <c r="F73" s="578">
        <f>SUM(E73*1.341*7000/1000000)</f>
        <v>1.40805</v>
      </c>
      <c r="G73" s="580">
        <f>'EGenerator Raw Data'!H60</f>
        <v>3.8000000000000114</v>
      </c>
      <c r="H73" s="682">
        <f t="shared" si="73"/>
        <v>5.3505900000000164</v>
      </c>
      <c r="I73" s="614">
        <f t="shared" si="74"/>
        <v>8.2934145000000258E-4</v>
      </c>
      <c r="J73" s="615">
        <f t="shared" si="75"/>
        <v>7.7583555000000236E-4</v>
      </c>
      <c r="K73" s="612">
        <f t="shared" si="76"/>
        <v>1.1771298000000038E-2</v>
      </c>
      <c r="L73" s="612">
        <f t="shared" si="77"/>
        <v>2.5415302500000079E-3</v>
      </c>
      <c r="M73" s="612">
        <f t="shared" si="78"/>
        <v>1.1503768500000036E-3</v>
      </c>
      <c r="N73" s="612">
        <f t="shared" si="79"/>
        <v>8.2934145000000258E-4</v>
      </c>
      <c r="O73" s="613">
        <f t="shared" si="80"/>
        <v>5.6181195000000179E-5</v>
      </c>
      <c r="P73" s="18">
        <f t="shared" si="81"/>
        <v>6.5474325000000014E-2</v>
      </c>
      <c r="Q73" s="18">
        <f t="shared" si="82"/>
        <v>6.1250174999999997E-2</v>
      </c>
      <c r="R73" s="18">
        <f t="shared" si="83"/>
        <v>0.92931300000000006</v>
      </c>
      <c r="S73" s="18">
        <f t="shared" si="84"/>
        <v>0.20064712499999998</v>
      </c>
      <c r="T73" s="18">
        <f t="shared" si="85"/>
        <v>9.0819225000000003E-2</v>
      </c>
      <c r="U73" s="18">
        <f t="shared" si="86"/>
        <v>6.5474325000000014E-2</v>
      </c>
      <c r="V73" s="576">
        <f t="shared" si="87"/>
        <v>4.4353575000000006E-3</v>
      </c>
    </row>
    <row r="74" spans="1:22" x14ac:dyDescent="0.25">
      <c r="A74" s="452" t="s">
        <v>658</v>
      </c>
      <c r="B74" s="446" t="s">
        <v>528</v>
      </c>
      <c r="C74" s="18">
        <f t="shared" si="71"/>
        <v>402.3</v>
      </c>
      <c r="D74" s="2">
        <f>SUM(C74*7000)</f>
        <v>2816100</v>
      </c>
      <c r="E74">
        <v>300</v>
      </c>
      <c r="F74" s="578">
        <f>SUM(E74*1.341*7000/1000000)</f>
        <v>2.8161</v>
      </c>
      <c r="G74" s="580">
        <f>'EGenerator Raw Data'!H30</f>
        <v>3.1999999999999886</v>
      </c>
      <c r="H74" s="682">
        <f t="shared" si="73"/>
        <v>9.0115199999999689</v>
      </c>
      <c r="I74" s="614">
        <f t="shared" si="74"/>
        <v>1.3967855999999952E-3</v>
      </c>
      <c r="J74" s="615">
        <f t="shared" si="75"/>
        <v>1.3066703999999954E-3</v>
      </c>
      <c r="K74" s="612">
        <f t="shared" si="76"/>
        <v>1.9825343999999932E-2</v>
      </c>
      <c r="L74" s="612">
        <f t="shared" si="77"/>
        <v>4.2804719999999857E-3</v>
      </c>
      <c r="M74" s="612">
        <f t="shared" si="78"/>
        <v>1.9374767999999934E-3</v>
      </c>
      <c r="N74" s="612">
        <f t="shared" si="79"/>
        <v>1.3967855999999952E-3</v>
      </c>
      <c r="O74" s="613">
        <f t="shared" si="80"/>
        <v>9.4620959999999686E-5</v>
      </c>
      <c r="P74" s="18">
        <f t="shared" si="81"/>
        <v>0.13094865000000003</v>
      </c>
      <c r="Q74" s="18">
        <f t="shared" si="82"/>
        <v>0.12250034999999999</v>
      </c>
      <c r="R74" s="18">
        <f t="shared" si="83"/>
        <v>1.8586260000000001</v>
      </c>
      <c r="S74" s="18">
        <f t="shared" si="84"/>
        <v>0.40129424999999996</v>
      </c>
      <c r="T74" s="18">
        <f t="shared" si="85"/>
        <v>0.18163845000000001</v>
      </c>
      <c r="U74" s="18">
        <f t="shared" si="86"/>
        <v>0.13094865000000003</v>
      </c>
      <c r="V74" s="576">
        <f t="shared" si="87"/>
        <v>8.8707150000000012E-3</v>
      </c>
    </row>
    <row r="75" spans="1:22" x14ac:dyDescent="0.25">
      <c r="A75" s="452" t="s">
        <v>641</v>
      </c>
      <c r="B75" s="446" t="s">
        <v>399</v>
      </c>
      <c r="C75" s="18">
        <f t="shared" si="71"/>
        <v>268.2</v>
      </c>
      <c r="D75" s="2">
        <f>SUM(C75*7000)</f>
        <v>1877400</v>
      </c>
      <c r="E75">
        <v>200</v>
      </c>
      <c r="F75" s="578">
        <f>SUM(E75*1.341*7000/1000000)</f>
        <v>1.8774</v>
      </c>
      <c r="G75" s="580">
        <f>'EGenerator Raw Data'!H9</f>
        <v>8.6999999999999993</v>
      </c>
      <c r="H75" s="682">
        <f>SUM(F75*G75)</f>
        <v>16.333379999999998</v>
      </c>
      <c r="I75" s="614">
        <f t="shared" si="74"/>
        <v>2.5316738999999998E-3</v>
      </c>
      <c r="J75" s="615">
        <f t="shared" si="75"/>
        <v>2.3683400999999996E-3</v>
      </c>
      <c r="K75" s="612">
        <f t="shared" si="76"/>
        <v>3.5933435999999999E-2</v>
      </c>
      <c r="L75" s="612">
        <f t="shared" si="77"/>
        <v>7.7583554999999986E-3</v>
      </c>
      <c r="M75" s="612">
        <f t="shared" si="78"/>
        <v>3.5116766999999998E-3</v>
      </c>
      <c r="N75" s="612">
        <f>I75</f>
        <v>2.5316738999999998E-3</v>
      </c>
      <c r="O75" s="613">
        <f t="shared" si="80"/>
        <v>1.7150049000000002E-4</v>
      </c>
      <c r="P75" s="18">
        <f t="shared" si="81"/>
        <v>8.7299100000000004E-2</v>
      </c>
      <c r="Q75" s="18">
        <f t="shared" si="82"/>
        <v>8.1666900000000001E-2</v>
      </c>
      <c r="R75" s="18">
        <f t="shared" si="83"/>
        <v>1.2390840000000001</v>
      </c>
      <c r="S75" s="18">
        <f t="shared" si="84"/>
        <v>0.26752949999999998</v>
      </c>
      <c r="T75" s="18">
        <f t="shared" si="85"/>
        <v>0.12109230000000001</v>
      </c>
      <c r="U75" s="18">
        <f>P75</f>
        <v>8.7299100000000004E-2</v>
      </c>
      <c r="V75" s="576">
        <f t="shared" si="87"/>
        <v>5.9138100000000002E-3</v>
      </c>
    </row>
    <row r="76" spans="1:22" ht="15.75" thickBot="1" x14ac:dyDescent="0.3">
      <c r="A76" s="558" t="s">
        <v>666</v>
      </c>
      <c r="B76" s="559" t="s">
        <v>399</v>
      </c>
      <c r="C76" s="560">
        <f t="shared" si="71"/>
        <v>134.1</v>
      </c>
      <c r="D76" s="561">
        <f>SUM(C76*7000)</f>
        <v>938700</v>
      </c>
      <c r="E76" s="520">
        <v>100</v>
      </c>
      <c r="F76" s="562">
        <f>SUM(E76*1.341*7000/1000000)</f>
        <v>0.93869999999999998</v>
      </c>
      <c r="G76" s="563">
        <f>'EGenerator Raw Data'!H45</f>
        <v>3.6000000000000014</v>
      </c>
      <c r="H76" s="708">
        <f>SUM(F76*G76)</f>
        <v>3.3793200000000012</v>
      </c>
      <c r="I76" s="606">
        <f t="shared" si="74"/>
        <v>5.2379460000000027E-4</v>
      </c>
      <c r="J76" s="607">
        <f t="shared" si="75"/>
        <v>4.9000140000000014E-4</v>
      </c>
      <c r="K76" s="608">
        <f t="shared" si="76"/>
        <v>7.4345040000000032E-3</v>
      </c>
      <c r="L76" s="608">
        <f t="shared" si="77"/>
        <v>1.6051770000000006E-3</v>
      </c>
      <c r="M76" s="608">
        <f t="shared" si="78"/>
        <v>7.2655380000000028E-4</v>
      </c>
      <c r="N76" s="608">
        <f>I76</f>
        <v>5.2379460000000027E-4</v>
      </c>
      <c r="O76" s="609">
        <f t="shared" si="80"/>
        <v>3.5482860000000009E-5</v>
      </c>
      <c r="P76" s="560">
        <f t="shared" si="81"/>
        <v>4.3649550000000002E-2</v>
      </c>
      <c r="Q76" s="560">
        <f t="shared" si="82"/>
        <v>4.083345E-2</v>
      </c>
      <c r="R76" s="560">
        <f t="shared" si="83"/>
        <v>0.61954200000000004</v>
      </c>
      <c r="S76" s="560">
        <f t="shared" si="84"/>
        <v>0.13376474999999999</v>
      </c>
      <c r="T76" s="560">
        <f t="shared" si="85"/>
        <v>6.0546150000000007E-2</v>
      </c>
      <c r="U76" s="560">
        <f>P76</f>
        <v>4.3649550000000002E-2</v>
      </c>
      <c r="V76" s="564">
        <f t="shared" si="87"/>
        <v>2.9569050000000001E-3</v>
      </c>
    </row>
    <row r="77" spans="1:22" ht="15.75" thickTop="1" x14ac:dyDescent="0.25">
      <c r="A77" s="452"/>
      <c r="B77" s="446"/>
      <c r="C77" s="18"/>
      <c r="D77" s="2"/>
      <c r="E77" s="565" t="s">
        <v>549</v>
      </c>
      <c r="F77" s="566">
        <f t="shared" ref="F77:V77" si="94">SUM(F59:F76)</f>
        <v>18.736452000000003</v>
      </c>
      <c r="G77" s="567">
        <f t="shared" si="94"/>
        <v>91.699999999999989</v>
      </c>
      <c r="H77" s="710">
        <f t="shared" si="94"/>
        <v>80.962874999999968</v>
      </c>
      <c r="I77" s="617">
        <f t="shared" si="94"/>
        <v>1.2549245624999997E-2</v>
      </c>
      <c r="J77" s="571">
        <f t="shared" si="94"/>
        <v>1.1739616874999994E-2</v>
      </c>
      <c r="K77" s="571">
        <f t="shared" si="94"/>
        <v>0.17811832499999997</v>
      </c>
      <c r="L77" s="571">
        <f t="shared" si="94"/>
        <v>3.8457365624999983E-2</v>
      </c>
      <c r="M77" s="571">
        <f t="shared" si="94"/>
        <v>1.7407018124999996E-2</v>
      </c>
      <c r="N77" s="571">
        <f t="shared" si="94"/>
        <v>1.2549245624999997E-2</v>
      </c>
      <c r="O77" s="572">
        <f t="shared" si="94"/>
        <v>8.5011018749999963E-4</v>
      </c>
      <c r="P77" s="573">
        <f t="shared" si="94"/>
        <v>0.8712450180000002</v>
      </c>
      <c r="Q77" s="573">
        <f t="shared" si="94"/>
        <v>0.81503566199999999</v>
      </c>
      <c r="R77" s="573">
        <f t="shared" si="94"/>
        <v>12.366058320000004</v>
      </c>
      <c r="S77" s="573">
        <f t="shared" si="94"/>
        <v>2.6699444099999994</v>
      </c>
      <c r="T77" s="573">
        <f t="shared" si="94"/>
        <v>1.2085011539999999</v>
      </c>
      <c r="U77" s="573">
        <f t="shared" si="94"/>
        <v>0.8712450180000002</v>
      </c>
      <c r="V77" s="574">
        <f t="shared" si="94"/>
        <v>5.901982380000001E-2</v>
      </c>
    </row>
    <row r="78" spans="1:22" s="784" customFormat="1" x14ac:dyDescent="0.25">
      <c r="A78" s="452"/>
      <c r="B78" s="446"/>
      <c r="C78" s="18"/>
      <c r="D78" s="2"/>
      <c r="E78" s="565"/>
      <c r="F78" s="788">
        <f>F77/0.139</f>
        <v>134.79461870503599</v>
      </c>
      <c r="G78" s="663" t="s">
        <v>212</v>
      </c>
      <c r="H78" s="789">
        <f>H77/0.139</f>
        <v>582.4667266187048</v>
      </c>
      <c r="I78" s="796"/>
      <c r="J78" s="796"/>
      <c r="K78" s="796"/>
      <c r="L78" s="796"/>
      <c r="M78" s="796"/>
      <c r="N78" s="796"/>
      <c r="O78" s="618"/>
      <c r="P78" s="573"/>
      <c r="Q78" s="573"/>
      <c r="R78" s="573"/>
      <c r="S78" s="573"/>
      <c r="T78" s="573"/>
      <c r="U78" s="573"/>
      <c r="V78" s="574"/>
    </row>
    <row r="79" spans="1:22" s="725" customFormat="1" x14ac:dyDescent="0.25">
      <c r="A79" s="533" t="s">
        <v>895</v>
      </c>
      <c r="B79" s="446"/>
      <c r="C79" s="18"/>
      <c r="D79" s="2"/>
      <c r="E79" s="565"/>
      <c r="F79" s="566"/>
      <c r="G79" s="567"/>
      <c r="H79" s="710"/>
      <c r="I79" s="568"/>
      <c r="J79" s="568"/>
      <c r="K79" s="568"/>
      <c r="L79" s="568"/>
      <c r="M79" s="568"/>
      <c r="N79" s="568"/>
      <c r="O79" s="618"/>
      <c r="P79" s="573"/>
      <c r="Q79" s="573"/>
      <c r="R79" s="573"/>
      <c r="S79" s="573"/>
      <c r="T79" s="573"/>
      <c r="U79" s="573"/>
      <c r="V79" s="574"/>
    </row>
    <row r="80" spans="1:22" s="725" customFormat="1" ht="15.75" thickBot="1" x14ac:dyDescent="0.3">
      <c r="A80" s="585" t="s">
        <v>907</v>
      </c>
      <c r="B80" s="586" t="s">
        <v>399</v>
      </c>
      <c r="C80" s="560">
        <f>SUM(E80*1.341)</f>
        <v>757.66499999999996</v>
      </c>
      <c r="D80" s="561">
        <f>SUM(C80*7000)</f>
        <v>5303655</v>
      </c>
      <c r="E80" s="520">
        <v>565</v>
      </c>
      <c r="F80" s="562">
        <f>SUM(E80*1.341*7000/1000000)</f>
        <v>5.303655</v>
      </c>
      <c r="G80" s="563">
        <f>'EGenerator Raw Data'!H39</f>
        <v>7.5</v>
      </c>
      <c r="H80" s="712">
        <f>SUM(F80*G80)</f>
        <v>39.777412499999997</v>
      </c>
      <c r="I80" s="620">
        <f>(H80*$B$94)/2000</f>
        <v>6.1654989374999997E-3</v>
      </c>
      <c r="J80" s="607">
        <f>H80*$B$95/2000</f>
        <v>5.7677248124999988E-3</v>
      </c>
      <c r="K80" s="608">
        <f>H80*$B$96/2000</f>
        <v>8.7510307499999995E-2</v>
      </c>
      <c r="L80" s="608">
        <f>H80*$B$97/2000</f>
        <v>1.8894270937499996E-2</v>
      </c>
      <c r="M80" s="608">
        <f>H80*$B$98/2000</f>
        <v>8.5521436874999995E-3</v>
      </c>
      <c r="N80" s="608">
        <f>I80</f>
        <v>6.1654989374999997E-3</v>
      </c>
      <c r="O80" s="609">
        <f>H80*$B$100/2000</f>
        <v>4.1766283125E-4</v>
      </c>
      <c r="P80" s="560">
        <f>F80*300*$B$94/2000</f>
        <v>0.24661995750000001</v>
      </c>
      <c r="Q80" s="560">
        <f>F80*300*$B$95/2000</f>
        <v>0.23070899249999999</v>
      </c>
      <c r="R80" s="560">
        <f>F80*300*$B$96/2000</f>
        <v>3.5004123000000003</v>
      </c>
      <c r="S80" s="560">
        <f>F80*300*$B$97/2000</f>
        <v>0.75577083749999996</v>
      </c>
      <c r="T80" s="560">
        <f>F80*300*$B$98/2000</f>
        <v>0.34208574750000004</v>
      </c>
      <c r="U80" s="560">
        <f>P80</f>
        <v>0.24661995750000001</v>
      </c>
      <c r="V80" s="564">
        <f>F80*300*$B$100/2000</f>
        <v>1.6706513249999999E-2</v>
      </c>
    </row>
    <row r="81" spans="1:22" s="725" customFormat="1" ht="15.75" thickTop="1" x14ac:dyDescent="0.25">
      <c r="A81" s="452"/>
      <c r="B81" s="446"/>
      <c r="C81" s="18"/>
      <c r="D81" s="2"/>
      <c r="E81" s="565" t="s">
        <v>896</v>
      </c>
      <c r="F81" s="566">
        <f>F80</f>
        <v>5.303655</v>
      </c>
      <c r="G81" s="566">
        <f t="shared" ref="G81:V81" si="95">G80</f>
        <v>7.5</v>
      </c>
      <c r="H81" s="566">
        <f t="shared" si="95"/>
        <v>39.777412499999997</v>
      </c>
      <c r="I81" s="566">
        <f t="shared" si="95"/>
        <v>6.1654989374999997E-3</v>
      </c>
      <c r="J81" s="566">
        <f t="shared" si="95"/>
        <v>5.7677248124999988E-3</v>
      </c>
      <c r="K81" s="566">
        <f t="shared" si="95"/>
        <v>8.7510307499999995E-2</v>
      </c>
      <c r="L81" s="566">
        <f t="shared" si="95"/>
        <v>1.8894270937499996E-2</v>
      </c>
      <c r="M81" s="566">
        <f t="shared" si="95"/>
        <v>8.5521436874999995E-3</v>
      </c>
      <c r="N81" s="566">
        <f t="shared" si="95"/>
        <v>6.1654989374999997E-3</v>
      </c>
      <c r="O81" s="566">
        <f t="shared" si="95"/>
        <v>4.1766283125E-4</v>
      </c>
      <c r="P81" s="566">
        <f>P80</f>
        <v>0.24661995750000001</v>
      </c>
      <c r="Q81" s="566">
        <f t="shared" si="95"/>
        <v>0.23070899249999999</v>
      </c>
      <c r="R81" s="566">
        <f t="shared" si="95"/>
        <v>3.5004123000000003</v>
      </c>
      <c r="S81" s="566">
        <f t="shared" si="95"/>
        <v>0.75577083749999996</v>
      </c>
      <c r="T81" s="566">
        <f t="shared" si="95"/>
        <v>0.34208574750000004</v>
      </c>
      <c r="U81" s="566">
        <f t="shared" si="95"/>
        <v>0.24661995750000001</v>
      </c>
      <c r="V81" s="566">
        <f t="shared" si="95"/>
        <v>1.6706513249999999E-2</v>
      </c>
    </row>
    <row r="82" spans="1:22" s="725" customFormat="1" x14ac:dyDescent="0.25">
      <c r="A82" s="581"/>
      <c r="B82" s="584"/>
      <c r="C82" s="18"/>
      <c r="D82" s="2"/>
      <c r="F82" s="788">
        <f>F81/0.139</f>
        <v>38.15579136690647</v>
      </c>
      <c r="G82" s="663" t="s">
        <v>212</v>
      </c>
      <c r="H82" s="789">
        <f>H81/0.139</f>
        <v>286.16843525179854</v>
      </c>
      <c r="I82" s="731"/>
      <c r="J82" s="731"/>
      <c r="K82" s="732"/>
      <c r="L82" s="732"/>
      <c r="M82" s="732"/>
      <c r="N82" s="732"/>
      <c r="O82" s="733"/>
      <c r="P82" s="18"/>
      <c r="Q82" s="18"/>
      <c r="R82" s="18"/>
      <c r="S82" s="18"/>
      <c r="T82" s="18"/>
      <c r="U82" s="18"/>
      <c r="V82" s="576"/>
    </row>
    <row r="83" spans="1:22" x14ac:dyDescent="0.25">
      <c r="A83" s="533" t="s">
        <v>676</v>
      </c>
      <c r="B83" s="446"/>
      <c r="C83" s="18"/>
      <c r="D83" s="2"/>
      <c r="E83" s="565"/>
      <c r="F83" s="566"/>
      <c r="G83" s="567"/>
      <c r="H83" s="710"/>
      <c r="I83" s="568"/>
      <c r="J83" s="568"/>
      <c r="K83" s="568"/>
      <c r="L83" s="568"/>
      <c r="M83" s="568"/>
      <c r="N83" s="568"/>
      <c r="O83" s="618"/>
      <c r="P83" s="573"/>
      <c r="Q83" s="573"/>
      <c r="R83" s="573"/>
      <c r="S83" s="573"/>
      <c r="T83" s="573"/>
      <c r="U83" s="573"/>
      <c r="V83" s="574"/>
    </row>
    <row r="84" spans="1:22" x14ac:dyDescent="0.25">
      <c r="A84" s="581" t="s">
        <v>654</v>
      </c>
      <c r="B84" s="584" t="s">
        <v>528</v>
      </c>
      <c r="C84" s="18">
        <f>SUM(E84*1.341)</f>
        <v>1743.3</v>
      </c>
      <c r="D84" s="2">
        <f>SUM(C84*7000)</f>
        <v>12203100</v>
      </c>
      <c r="E84">
        <v>1300</v>
      </c>
      <c r="F84" s="578">
        <f>SUM(E84*1.341*7000/1000000)</f>
        <v>12.203099999999999</v>
      </c>
      <c r="G84" s="580">
        <f>'EGenerator Raw Data'!H37</f>
        <v>8.2000000000000028</v>
      </c>
      <c r="H84" s="711">
        <f>SUM(F84*G84)</f>
        <v>100.06542000000003</v>
      </c>
      <c r="I84" s="619">
        <f>(H84*$B$94)/2000</f>
        <v>1.5510140100000005E-2</v>
      </c>
      <c r="J84" s="615">
        <f>H84*$B$95/2000</f>
        <v>1.4509485900000002E-2</v>
      </c>
      <c r="K84" s="612">
        <f>H84*$B$96/2000</f>
        <v>0.22014392400000007</v>
      </c>
      <c r="L84" s="612">
        <f>H84*$B$97/2000</f>
        <v>4.7531074500000006E-2</v>
      </c>
      <c r="M84" s="612">
        <f>H84*$B$98/2000</f>
        <v>2.1514065300000006E-2</v>
      </c>
      <c r="N84" s="612">
        <f>I84</f>
        <v>1.5510140100000005E-2</v>
      </c>
      <c r="O84" s="613">
        <f>H84*$B$100/2000</f>
        <v>1.0506869100000004E-3</v>
      </c>
      <c r="P84" s="18">
        <f>F84*300*$B$94/2000</f>
        <v>0.56744414999999992</v>
      </c>
      <c r="Q84" s="18">
        <f>F84*300*$B$95/2000</f>
        <v>0.53083484999999997</v>
      </c>
      <c r="R84" s="18">
        <f>F84*300*$B$96/2000</f>
        <v>8.0540459999999996</v>
      </c>
      <c r="S84" s="18">
        <f>F84*300*$B$97/2000</f>
        <v>1.7389417499999997</v>
      </c>
      <c r="T84" s="18">
        <f>F84*300*$B$98/2000</f>
        <v>0.78709994999999988</v>
      </c>
      <c r="U84" s="18">
        <f>P84</f>
        <v>0.56744414999999992</v>
      </c>
      <c r="V84" s="576">
        <f>F84*300*$B$100/2000</f>
        <v>3.8439765000000001E-2</v>
      </c>
    </row>
    <row r="85" spans="1:22" ht="15.75" thickBot="1" x14ac:dyDescent="0.3">
      <c r="A85" s="585" t="s">
        <v>653</v>
      </c>
      <c r="B85" s="586" t="s">
        <v>528</v>
      </c>
      <c r="C85" s="560">
        <f>SUM(E85*1.341)</f>
        <v>1743.3</v>
      </c>
      <c r="D85" s="561">
        <f>SUM(C85*7000)</f>
        <v>12203100</v>
      </c>
      <c r="E85" s="520">
        <v>1300</v>
      </c>
      <c r="F85" s="562">
        <f>SUM(E85*1.341*7000/1000000)</f>
        <v>12.203099999999999</v>
      </c>
      <c r="G85" s="563">
        <f>'EGenerator Raw Data'!H38</f>
        <v>3.5000000000000071</v>
      </c>
      <c r="H85" s="712">
        <f>SUM(F85*G85)</f>
        <v>42.710850000000086</v>
      </c>
      <c r="I85" s="620">
        <f>(H85*$B$94)/2000</f>
        <v>6.6201817500000128E-3</v>
      </c>
      <c r="J85" s="607">
        <f>H85*$B$95/2000</f>
        <v>6.1930732500000115E-3</v>
      </c>
      <c r="K85" s="608">
        <f>H85*$B$96/2000</f>
        <v>9.3963870000000199E-2</v>
      </c>
      <c r="L85" s="608">
        <f>H85*$B$97/2000</f>
        <v>2.028765375000004E-2</v>
      </c>
      <c r="M85" s="608">
        <f>H85*$B$98/2000</f>
        <v>9.1828327500000188E-3</v>
      </c>
      <c r="N85" s="608">
        <f>I85</f>
        <v>6.6201817500000128E-3</v>
      </c>
      <c r="O85" s="609">
        <f>H85*$B$100/2000</f>
        <v>4.4846392500000093E-4</v>
      </c>
      <c r="P85" s="560">
        <f>F85*300*$B$94/2000</f>
        <v>0.56744414999999992</v>
      </c>
      <c r="Q85" s="560">
        <f>F85*300*$B$95/2000</f>
        <v>0.53083484999999997</v>
      </c>
      <c r="R85" s="560">
        <f>F85*300*$B$96/2000</f>
        <v>8.0540459999999996</v>
      </c>
      <c r="S85" s="560">
        <f>F85*300*$B$97/2000</f>
        <v>1.7389417499999997</v>
      </c>
      <c r="T85" s="560">
        <f>F85*300*$B$98/2000</f>
        <v>0.78709994999999988</v>
      </c>
      <c r="U85" s="560">
        <f>P85</f>
        <v>0.56744414999999992</v>
      </c>
      <c r="V85" s="564">
        <f>F85*300*$B$100/2000</f>
        <v>3.8439765000000001E-2</v>
      </c>
    </row>
    <row r="86" spans="1:22" ht="16.5" thickTop="1" thickBot="1" x14ac:dyDescent="0.3">
      <c r="A86" s="515"/>
      <c r="B86" s="592"/>
      <c r="C86" s="516"/>
      <c r="D86" s="593"/>
      <c r="E86" s="594" t="s">
        <v>604</v>
      </c>
      <c r="F86" s="595">
        <f>SUM(F84:F85)</f>
        <v>24.406199999999998</v>
      </c>
      <c r="G86" s="596">
        <f t="shared" ref="G86:V86" si="96">SUM(G84:G85)</f>
        <v>11.70000000000001</v>
      </c>
      <c r="H86" s="713">
        <f t="shared" si="96"/>
        <v>142.77627000000012</v>
      </c>
      <c r="I86" s="597">
        <f t="shared" si="96"/>
        <v>2.2130321850000016E-2</v>
      </c>
      <c r="J86" s="597">
        <f t="shared" si="96"/>
        <v>2.0702559150000015E-2</v>
      </c>
      <c r="K86" s="597">
        <f t="shared" si="96"/>
        <v>0.31410779400000027</v>
      </c>
      <c r="L86" s="597">
        <f t="shared" si="96"/>
        <v>6.7818728250000043E-2</v>
      </c>
      <c r="M86" s="597">
        <f t="shared" si="96"/>
        <v>3.0696898050000025E-2</v>
      </c>
      <c r="N86" s="597">
        <f t="shared" si="96"/>
        <v>2.2130321850000016E-2</v>
      </c>
      <c r="O86" s="597">
        <f>SUM(O84:O85)</f>
        <v>1.4991508350000013E-3</v>
      </c>
      <c r="P86" s="595">
        <f t="shared" si="96"/>
        <v>1.1348882999999998</v>
      </c>
      <c r="Q86" s="595">
        <f t="shared" si="96"/>
        <v>1.0616696999999999</v>
      </c>
      <c r="R86" s="595">
        <f t="shared" si="96"/>
        <v>16.108091999999999</v>
      </c>
      <c r="S86" s="595">
        <f t="shared" si="96"/>
        <v>3.4778834999999995</v>
      </c>
      <c r="T86" s="595">
        <f t="shared" si="96"/>
        <v>1.5741998999999998</v>
      </c>
      <c r="U86" s="595">
        <f t="shared" si="96"/>
        <v>1.1348882999999998</v>
      </c>
      <c r="V86" s="598">
        <f t="shared" si="96"/>
        <v>7.6879530000000001E-2</v>
      </c>
    </row>
    <row r="87" spans="1:22" x14ac:dyDescent="0.25">
      <c r="A87" s="599"/>
      <c r="B87" s="446"/>
      <c r="C87" s="18"/>
      <c r="D87" s="2"/>
      <c r="E87" s="575"/>
      <c r="F87" s="788">
        <f>F86/0.139</f>
        <v>175.58417266187047</v>
      </c>
      <c r="G87" s="663" t="s">
        <v>212</v>
      </c>
      <c r="H87" s="789">
        <f>H86/0.139</f>
        <v>1027.1674100719433</v>
      </c>
      <c r="I87" s="600"/>
      <c r="J87" s="600"/>
      <c r="K87" s="18"/>
      <c r="L87" s="18"/>
      <c r="M87" s="18"/>
      <c r="N87" s="18"/>
      <c r="O87" s="18"/>
    </row>
    <row r="88" spans="1:22" x14ac:dyDescent="0.25">
      <c r="A88" t="s">
        <v>950</v>
      </c>
      <c r="B88" s="446"/>
      <c r="C88" s="446"/>
      <c r="D88" s="446"/>
    </row>
    <row r="89" spans="1:22" x14ac:dyDescent="0.25">
      <c r="B89" s="446"/>
      <c r="C89" s="446"/>
      <c r="D89" s="446"/>
    </row>
    <row r="90" spans="1:22" x14ac:dyDescent="0.25">
      <c r="A90" s="1277" t="s">
        <v>550</v>
      </c>
      <c r="B90" s="1277"/>
      <c r="C90" s="601"/>
      <c r="D90" s="601"/>
      <c r="E90" s="602"/>
      <c r="F90" s="602"/>
    </row>
    <row r="91" spans="1:22" x14ac:dyDescent="0.25">
      <c r="A91" s="1273" t="s">
        <v>551</v>
      </c>
      <c r="B91" s="1273"/>
      <c r="C91" s="601"/>
      <c r="D91" s="601"/>
      <c r="E91" s="601"/>
      <c r="F91" s="575"/>
    </row>
    <row r="92" spans="1:22" x14ac:dyDescent="0.25">
      <c r="A92" s="10"/>
      <c r="B92" s="10"/>
      <c r="C92" s="601"/>
      <c r="D92" s="601"/>
      <c r="E92" s="601"/>
      <c r="F92" s="575"/>
    </row>
    <row r="93" spans="1:22" x14ac:dyDescent="0.25">
      <c r="A93" s="603" t="s">
        <v>825</v>
      </c>
      <c r="B93" s="604" t="s">
        <v>30</v>
      </c>
      <c r="C93" s="446" t="s">
        <v>63</v>
      </c>
      <c r="D93" s="446"/>
    </row>
    <row r="94" spans="1:22" x14ac:dyDescent="0.25">
      <c r="A94" s="10" t="s">
        <v>4</v>
      </c>
      <c r="B94" s="148">
        <v>0.31</v>
      </c>
      <c r="C94" s="446">
        <f>B94*0.139*1000</f>
        <v>43.09</v>
      </c>
      <c r="D94" s="446"/>
      <c r="E94" s="454"/>
    </row>
    <row r="95" spans="1:22" x14ac:dyDescent="0.25">
      <c r="A95" s="10" t="s">
        <v>218</v>
      </c>
      <c r="B95" s="148">
        <v>0.28999999999999998</v>
      </c>
      <c r="C95" s="446">
        <f t="shared" ref="C95:C100" si="97">B95*0.139*1000</f>
        <v>40.309999999999995</v>
      </c>
      <c r="D95" s="446"/>
      <c r="E95" s="454"/>
    </row>
    <row r="96" spans="1:22" x14ac:dyDescent="0.25">
      <c r="A96" s="10" t="s">
        <v>12</v>
      </c>
      <c r="B96" s="605">
        <v>4.4000000000000004</v>
      </c>
      <c r="C96" s="446">
        <f t="shared" si="97"/>
        <v>611.60000000000014</v>
      </c>
      <c r="D96" s="578"/>
    </row>
    <row r="97" spans="1:4" x14ac:dyDescent="0.25">
      <c r="A97" s="10" t="s">
        <v>1</v>
      </c>
      <c r="B97" s="605">
        <v>0.95</v>
      </c>
      <c r="C97" s="446">
        <f t="shared" si="97"/>
        <v>132.05000000000001</v>
      </c>
      <c r="D97" s="578"/>
    </row>
    <row r="98" spans="1:4" x14ac:dyDescent="0.25">
      <c r="A98" s="10" t="s">
        <v>2</v>
      </c>
      <c r="B98" s="149">
        <v>0.43</v>
      </c>
      <c r="C98" s="446">
        <f t="shared" si="97"/>
        <v>59.77</v>
      </c>
      <c r="D98" s="578"/>
    </row>
    <row r="99" spans="1:4" x14ac:dyDescent="0.25">
      <c r="A99" s="10" t="s">
        <v>61</v>
      </c>
      <c r="B99" s="148">
        <v>0.31</v>
      </c>
      <c r="C99" s="446">
        <f t="shared" si="97"/>
        <v>43.09</v>
      </c>
      <c r="D99" s="446"/>
    </row>
    <row r="100" spans="1:4" x14ac:dyDescent="0.25">
      <c r="A100" s="10" t="s">
        <v>102</v>
      </c>
      <c r="B100" s="148">
        <v>2.1000000000000001E-2</v>
      </c>
      <c r="C100" s="446">
        <f t="shared" si="97"/>
        <v>2.9190000000000005</v>
      </c>
      <c r="D100" s="446"/>
    </row>
    <row r="101" spans="1:4" x14ac:dyDescent="0.25">
      <c r="B101" s="446"/>
      <c r="C101" s="446"/>
      <c r="D101" s="446"/>
    </row>
    <row r="102" spans="1:4" x14ac:dyDescent="0.25">
      <c r="A102" s="602" t="s">
        <v>411</v>
      </c>
      <c r="B102" t="s">
        <v>412</v>
      </c>
      <c r="C102" s="446"/>
      <c r="D102" s="446"/>
    </row>
    <row r="103" spans="1:4" x14ac:dyDescent="0.25">
      <c r="B103" t="s">
        <v>413</v>
      </c>
    </row>
  </sheetData>
  <mergeCells count="7">
    <mergeCell ref="A91:B91"/>
    <mergeCell ref="P6:V6"/>
    <mergeCell ref="A1:V1"/>
    <mergeCell ref="A2:V2"/>
    <mergeCell ref="A3:V3"/>
    <mergeCell ref="I6:O6"/>
    <mergeCell ref="A90:B90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7"/>
  <sheetViews>
    <sheetView topLeftCell="A40" workbookViewId="0">
      <selection activeCell="B50" sqref="B50"/>
    </sheetView>
  </sheetViews>
  <sheetFormatPr defaultRowHeight="15" x14ac:dyDescent="0.25"/>
  <cols>
    <col min="1" max="1" width="50" style="1051" customWidth="1"/>
    <col min="2" max="2" width="16.5703125" style="1051" customWidth="1"/>
    <col min="3" max="3" width="12.5703125" style="1051" customWidth="1"/>
    <col min="4" max="4" width="14.5703125" style="1051" customWidth="1"/>
    <col min="5" max="5" width="12.140625" style="1051" customWidth="1"/>
    <col min="6" max="6" width="14.28515625" style="1051" customWidth="1"/>
    <col min="7" max="10" width="9.140625" style="1051"/>
    <col min="11" max="12" width="11.42578125" style="1051" customWidth="1"/>
    <col min="13" max="16384" width="9.140625" style="1051"/>
  </cols>
  <sheetData>
    <row r="1" spans="1:6" x14ac:dyDescent="0.25">
      <c r="A1" s="1278" t="s">
        <v>969</v>
      </c>
      <c r="B1" s="1278"/>
      <c r="C1" s="1278"/>
      <c r="D1" s="1278"/>
    </row>
    <row r="2" spans="1:6" ht="15.75" thickBot="1" x14ac:dyDescent="0.3">
      <c r="A2" s="1051" t="s">
        <v>988</v>
      </c>
    </row>
    <row r="3" spans="1:6" ht="45.75" thickBot="1" x14ac:dyDescent="0.3">
      <c r="A3" s="1053" t="s">
        <v>463</v>
      </c>
      <c r="B3" s="1054" t="s">
        <v>968</v>
      </c>
      <c r="C3" s="1054" t="s">
        <v>464</v>
      </c>
      <c r="D3" s="1054" t="s">
        <v>479</v>
      </c>
      <c r="E3" s="1055" t="s">
        <v>640</v>
      </c>
    </row>
    <row r="4" spans="1:6" ht="75" customHeight="1" x14ac:dyDescent="0.25">
      <c r="A4" s="1056" t="s">
        <v>465</v>
      </c>
      <c r="B4" s="1057">
        <v>5.2</v>
      </c>
      <c r="C4" s="1058"/>
      <c r="D4" s="1058">
        <v>5.2</v>
      </c>
      <c r="E4" s="1059"/>
    </row>
    <row r="5" spans="1:6" x14ac:dyDescent="0.25">
      <c r="A5" s="1060" t="s">
        <v>471</v>
      </c>
      <c r="B5" s="1061">
        <v>15849.6</v>
      </c>
      <c r="C5" s="1050"/>
      <c r="D5" s="1050">
        <v>15849.6</v>
      </c>
      <c r="E5" s="1062"/>
    </row>
    <row r="6" spans="1:6" x14ac:dyDescent="0.25">
      <c r="A6" s="1060" t="s">
        <v>467</v>
      </c>
      <c r="B6" s="1061">
        <v>6.2</v>
      </c>
      <c r="C6" s="1050"/>
      <c r="D6" s="1050">
        <v>6.2</v>
      </c>
      <c r="E6" s="1062"/>
    </row>
    <row r="7" spans="1:6" x14ac:dyDescent="0.25">
      <c r="A7" s="1060" t="s">
        <v>469</v>
      </c>
      <c r="B7" s="1050">
        <v>5.2</v>
      </c>
      <c r="C7" s="1050"/>
      <c r="D7" s="1050">
        <v>5.2</v>
      </c>
      <c r="E7" s="1062"/>
    </row>
    <row r="8" spans="1:6" x14ac:dyDescent="0.25">
      <c r="A8" s="1060" t="s">
        <v>470</v>
      </c>
      <c r="B8" s="1050">
        <v>4.2</v>
      </c>
      <c r="C8" s="1050"/>
      <c r="D8" s="1050">
        <v>4.2</v>
      </c>
      <c r="E8" s="1062"/>
    </row>
    <row r="9" spans="1:6" x14ac:dyDescent="0.25">
      <c r="A9" s="1060" t="s">
        <v>473</v>
      </c>
      <c r="B9" s="1061">
        <v>16.600000000000001</v>
      </c>
      <c r="C9" s="1050"/>
      <c r="D9" s="1050">
        <v>16.600000000000001</v>
      </c>
      <c r="E9" s="1062"/>
    </row>
    <row r="10" spans="1:6" x14ac:dyDescent="0.25">
      <c r="A10" s="1060" t="s">
        <v>478</v>
      </c>
      <c r="B10" s="1050">
        <v>1180.5</v>
      </c>
      <c r="C10" s="1050"/>
      <c r="D10" s="1050">
        <v>1180.5</v>
      </c>
      <c r="E10" s="1062"/>
    </row>
    <row r="11" spans="1:6" x14ac:dyDescent="0.25">
      <c r="A11" s="1060" t="s">
        <v>472</v>
      </c>
      <c r="B11" s="1061">
        <v>27282.6</v>
      </c>
      <c r="C11" s="1050">
        <v>27282.6</v>
      </c>
      <c r="D11" s="1050"/>
      <c r="E11" s="1062"/>
    </row>
    <row r="12" spans="1:6" x14ac:dyDescent="0.25">
      <c r="A12" s="1060" t="s">
        <v>710</v>
      </c>
      <c r="B12" s="1061">
        <v>1872.4</v>
      </c>
      <c r="C12" s="1050"/>
      <c r="D12" s="1050">
        <v>1872.4</v>
      </c>
      <c r="E12" s="1062"/>
    </row>
    <row r="13" spans="1:6" x14ac:dyDescent="0.25">
      <c r="A13" s="1056" t="s">
        <v>851</v>
      </c>
      <c r="B13" s="1050">
        <v>0</v>
      </c>
      <c r="C13" s="1050"/>
      <c r="D13" s="1050">
        <v>0</v>
      </c>
      <c r="E13" s="1062"/>
      <c r="F13" s="1063"/>
    </row>
    <row r="14" spans="1:6" x14ac:dyDescent="0.25">
      <c r="A14" s="1060" t="s">
        <v>711</v>
      </c>
      <c r="B14" s="1061">
        <v>5157.1800000000012</v>
      </c>
      <c r="C14" s="1050"/>
      <c r="D14" s="1050">
        <v>5157.1800000000012</v>
      </c>
      <c r="E14" s="1062"/>
    </row>
    <row r="15" spans="1:6" x14ac:dyDescent="0.25">
      <c r="A15" s="1056" t="s">
        <v>679</v>
      </c>
      <c r="B15" s="1061">
        <v>8212.2999999999993</v>
      </c>
      <c r="C15" s="1050"/>
      <c r="D15" s="1050">
        <v>8212.2999999999993</v>
      </c>
      <c r="E15" s="1062"/>
    </row>
    <row r="16" spans="1:6" x14ac:dyDescent="0.25">
      <c r="A16" s="1056" t="s">
        <v>971</v>
      </c>
      <c r="B16" s="1050">
        <v>15086.4</v>
      </c>
      <c r="C16" s="1050">
        <v>15086.4</v>
      </c>
      <c r="D16" s="1050"/>
      <c r="E16" s="1062"/>
    </row>
    <row r="17" spans="1:5" x14ac:dyDescent="0.25">
      <c r="A17" s="1056" t="s">
        <v>680</v>
      </c>
      <c r="B17" s="1050">
        <v>36.1</v>
      </c>
      <c r="C17" s="1050"/>
      <c r="D17" s="1050">
        <v>36.1</v>
      </c>
      <c r="E17" s="1062"/>
    </row>
    <row r="18" spans="1:5" x14ac:dyDescent="0.25">
      <c r="A18" s="1060" t="s">
        <v>681</v>
      </c>
      <c r="B18" s="1050">
        <v>1</v>
      </c>
      <c r="C18" s="1050"/>
      <c r="D18" s="1050">
        <v>1</v>
      </c>
      <c r="E18" s="1062"/>
    </row>
    <row r="19" spans="1:5" x14ac:dyDescent="0.25">
      <c r="A19" s="1056" t="s">
        <v>624</v>
      </c>
      <c r="B19" s="1050">
        <v>0</v>
      </c>
      <c r="C19" s="1050"/>
      <c r="D19" s="1050">
        <v>0</v>
      </c>
      <c r="E19" s="1062"/>
    </row>
    <row r="20" spans="1:5" x14ac:dyDescent="0.25">
      <c r="A20" s="1056" t="s">
        <v>972</v>
      </c>
      <c r="B20" s="1050">
        <v>52032.800000000003</v>
      </c>
      <c r="C20" s="1050"/>
      <c r="D20" s="1050"/>
      <c r="E20" s="1062">
        <v>52032.800000000003</v>
      </c>
    </row>
    <row r="21" spans="1:5" x14ac:dyDescent="0.25">
      <c r="A21" s="1056" t="s">
        <v>625</v>
      </c>
      <c r="B21" s="1050">
        <v>1600.6000000000001</v>
      </c>
      <c r="C21" s="1050"/>
      <c r="D21" s="1050">
        <v>1600.6000000000001</v>
      </c>
      <c r="E21" s="1062"/>
    </row>
    <row r="22" spans="1:5" x14ac:dyDescent="0.25">
      <c r="A22" s="1056" t="s">
        <v>626</v>
      </c>
      <c r="B22" s="1050">
        <v>7451.4000000000005</v>
      </c>
      <c r="C22" s="1050"/>
      <c r="D22" s="1050">
        <v>7451.4000000000005</v>
      </c>
      <c r="E22" s="1062"/>
    </row>
    <row r="23" spans="1:5" x14ac:dyDescent="0.25">
      <c r="A23" s="1060" t="s">
        <v>627</v>
      </c>
      <c r="B23" s="1050">
        <v>4434.0999999999995</v>
      </c>
      <c r="C23" s="1050"/>
      <c r="D23" s="1050">
        <v>4434.0999999999995</v>
      </c>
      <c r="E23" s="1062"/>
    </row>
    <row r="24" spans="1:5" x14ac:dyDescent="0.25">
      <c r="A24" s="1060" t="s">
        <v>628</v>
      </c>
      <c r="B24" s="1050">
        <v>22516.500000000004</v>
      </c>
      <c r="C24" s="1050">
        <v>22516.500000000004</v>
      </c>
      <c r="D24" s="1050"/>
      <c r="E24" s="1062"/>
    </row>
    <row r="25" spans="1:5" x14ac:dyDescent="0.25">
      <c r="A25" s="1060" t="s">
        <v>629</v>
      </c>
      <c r="B25" s="1050">
        <v>36645.599999999999</v>
      </c>
      <c r="C25" s="1050">
        <v>36645.599999999999</v>
      </c>
      <c r="D25" s="1050"/>
      <c r="E25" s="1062"/>
    </row>
    <row r="26" spans="1:5" x14ac:dyDescent="0.25">
      <c r="A26" s="1060" t="s">
        <v>630</v>
      </c>
      <c r="B26" s="1050">
        <v>1</v>
      </c>
      <c r="C26" s="1050"/>
      <c r="D26" s="1050">
        <v>1</v>
      </c>
      <c r="E26" s="1062"/>
    </row>
    <row r="27" spans="1:5" x14ac:dyDescent="0.25">
      <c r="A27" s="1060" t="s">
        <v>631</v>
      </c>
      <c r="B27" s="1050">
        <v>1</v>
      </c>
      <c r="C27" s="1050"/>
      <c r="D27" s="1050">
        <v>1</v>
      </c>
      <c r="E27" s="1062"/>
    </row>
    <row r="28" spans="1:5" x14ac:dyDescent="0.25">
      <c r="A28" s="1060" t="s">
        <v>632</v>
      </c>
      <c r="B28" s="1050">
        <v>0</v>
      </c>
      <c r="C28" s="1050"/>
      <c r="D28" s="1050">
        <v>0</v>
      </c>
      <c r="E28" s="1062"/>
    </row>
    <row r="29" spans="1:5" x14ac:dyDescent="0.25">
      <c r="A29" s="1056" t="s">
        <v>475</v>
      </c>
      <c r="B29" s="1050">
        <v>26.8</v>
      </c>
      <c r="C29" s="1050"/>
      <c r="D29" s="1050">
        <v>26.8</v>
      </c>
      <c r="E29" s="1062"/>
    </row>
    <row r="30" spans="1:5" x14ac:dyDescent="0.25">
      <c r="A30" s="1060" t="s">
        <v>476</v>
      </c>
      <c r="B30" s="1050">
        <v>22337.799999999996</v>
      </c>
      <c r="C30" s="1050"/>
      <c r="D30" s="1050">
        <v>22337.799999999996</v>
      </c>
      <c r="E30" s="1062"/>
    </row>
    <row r="31" spans="1:5" x14ac:dyDescent="0.25">
      <c r="A31" s="1051" t="s">
        <v>623</v>
      </c>
      <c r="B31" s="1061">
        <v>86.6</v>
      </c>
      <c r="C31" s="1050"/>
      <c r="D31" s="1061">
        <v>86.6</v>
      </c>
      <c r="E31" s="1062"/>
    </row>
    <row r="32" spans="1:5" x14ac:dyDescent="0.25">
      <c r="A32" s="1060" t="s">
        <v>477</v>
      </c>
      <c r="B32" s="1050">
        <v>31876.6</v>
      </c>
      <c r="C32" s="1050"/>
      <c r="D32" s="1050">
        <v>31876.6</v>
      </c>
      <c r="E32" s="1062"/>
    </row>
    <row r="33" spans="1:6" x14ac:dyDescent="0.25">
      <c r="A33" s="1056" t="s">
        <v>973</v>
      </c>
      <c r="B33" s="1050">
        <v>44527.9</v>
      </c>
      <c r="C33" s="1050"/>
      <c r="D33" s="1050"/>
      <c r="E33" s="1062">
        <v>44527.9</v>
      </c>
    </row>
    <row r="34" spans="1:6" x14ac:dyDescent="0.25">
      <c r="A34" s="1060" t="s">
        <v>633</v>
      </c>
      <c r="B34" s="1050">
        <v>3.9</v>
      </c>
      <c r="C34" s="1050"/>
      <c r="D34" s="1050">
        <v>3.9</v>
      </c>
      <c r="E34" s="1062"/>
    </row>
    <row r="35" spans="1:6" x14ac:dyDescent="0.25">
      <c r="A35" s="1060" t="s">
        <v>634</v>
      </c>
      <c r="B35" s="1050">
        <v>8537.6</v>
      </c>
      <c r="C35" s="1050"/>
      <c r="D35" s="1050">
        <v>8537.6</v>
      </c>
      <c r="E35" s="1062"/>
    </row>
    <row r="36" spans="1:6" x14ac:dyDescent="0.25">
      <c r="A36" s="1056" t="s">
        <v>466</v>
      </c>
      <c r="B36" s="1064">
        <v>1468.9</v>
      </c>
      <c r="C36" s="1050"/>
      <c r="D36" s="1061">
        <v>1468.9</v>
      </c>
      <c r="E36" s="1062"/>
    </row>
    <row r="37" spans="1:6" x14ac:dyDescent="0.25">
      <c r="A37" s="1056" t="s">
        <v>970</v>
      </c>
      <c r="B37" s="1064">
        <v>7580.8</v>
      </c>
      <c r="C37" s="1050"/>
      <c r="D37" s="1050">
        <v>7580.8</v>
      </c>
      <c r="E37" s="1062"/>
    </row>
    <row r="38" spans="1:6" x14ac:dyDescent="0.25">
      <c r="A38" s="1060" t="s">
        <v>635</v>
      </c>
      <c r="B38" s="1050">
        <v>8101</v>
      </c>
      <c r="C38" s="1050"/>
      <c r="D38" s="1050">
        <v>8101</v>
      </c>
      <c r="E38" s="1062"/>
    </row>
    <row r="39" spans="1:6" x14ac:dyDescent="0.25">
      <c r="A39" s="1056" t="s">
        <v>974</v>
      </c>
      <c r="B39" s="1061">
        <v>4665</v>
      </c>
      <c r="C39" s="1050"/>
      <c r="D39" s="1050"/>
      <c r="E39" s="1065">
        <v>4665</v>
      </c>
    </row>
    <row r="40" spans="1:6" x14ac:dyDescent="0.25">
      <c r="A40" s="1060" t="s">
        <v>636</v>
      </c>
      <c r="B40" s="1050">
        <v>14522</v>
      </c>
      <c r="C40" s="1050">
        <v>14522</v>
      </c>
      <c r="D40" s="1050"/>
      <c r="E40" s="1062"/>
    </row>
    <row r="41" spans="1:6" x14ac:dyDescent="0.25">
      <c r="A41" s="1066" t="s">
        <v>975</v>
      </c>
      <c r="B41" s="1067">
        <v>1506</v>
      </c>
      <c r="C41" s="1068"/>
      <c r="D41" s="1068"/>
      <c r="E41" s="1069">
        <v>1506</v>
      </c>
    </row>
    <row r="42" spans="1:6" x14ac:dyDescent="0.25">
      <c r="A42" s="1070" t="s">
        <v>976</v>
      </c>
      <c r="B42" s="1071">
        <v>23076</v>
      </c>
      <c r="C42" s="1068"/>
      <c r="D42" s="1068"/>
      <c r="E42" s="1069">
        <v>23076</v>
      </c>
    </row>
    <row r="43" spans="1:6" ht="15.75" thickBot="1" x14ac:dyDescent="0.3">
      <c r="A43" s="1072" t="s">
        <v>94</v>
      </c>
      <c r="B43" s="1073">
        <v>367715.38</v>
      </c>
      <c r="C43" s="1073">
        <v>116053.1</v>
      </c>
      <c r="D43" s="1073">
        <v>125854.58</v>
      </c>
      <c r="E43" s="1074">
        <v>125807.70000000001</v>
      </c>
    </row>
    <row r="44" spans="1:6" x14ac:dyDescent="0.25">
      <c r="A44" s="672"/>
    </row>
    <row r="45" spans="1:6" x14ac:dyDescent="0.25">
      <c r="A45" s="1075"/>
    </row>
    <row r="46" spans="1:6" x14ac:dyDescent="0.25">
      <c r="B46" s="1051" t="s">
        <v>577</v>
      </c>
      <c r="F46" s="1076"/>
    </row>
    <row r="47" spans="1:6" x14ac:dyDescent="0.25">
      <c r="A47" s="1077"/>
    </row>
    <row r="48" spans="1:6" x14ac:dyDescent="0.25">
      <c r="A48" s="696" t="s">
        <v>685</v>
      </c>
      <c r="B48" s="1078">
        <f>'Berskhire Gas - RTIC and UMTS'!H2</f>
        <v>4665</v>
      </c>
      <c r="C48" s="1051" t="s">
        <v>578</v>
      </c>
      <c r="D48" s="1282" t="s">
        <v>716</v>
      </c>
      <c r="E48" s="1282"/>
      <c r="F48" s="1282"/>
    </row>
    <row r="49" spans="1:17" ht="15" customHeight="1" x14ac:dyDescent="0.25">
      <c r="A49" s="696" t="s">
        <v>977</v>
      </c>
      <c r="B49" s="1078">
        <f>'Berskhire Gas - RTIC and UMTS'!C2</f>
        <v>23076</v>
      </c>
      <c r="C49" s="1051" t="s">
        <v>578</v>
      </c>
      <c r="D49" s="1282"/>
      <c r="E49" s="1282"/>
      <c r="F49" s="1282"/>
      <c r="K49" s="1079"/>
      <c r="L49" s="1079"/>
      <c r="M49" s="1080"/>
      <c r="N49" s="1080"/>
      <c r="O49" s="1081"/>
      <c r="P49" s="1081"/>
      <c r="Q49" s="1082"/>
    </row>
    <row r="50" spans="1:17" x14ac:dyDescent="0.25">
      <c r="K50" s="1079"/>
      <c r="L50" s="1079"/>
      <c r="M50" s="1080"/>
      <c r="N50" s="1080"/>
      <c r="O50" s="1081"/>
      <c r="P50" s="1081"/>
      <c r="Q50" s="1082"/>
    </row>
    <row r="51" spans="1:17" ht="15.75" thickBot="1" x14ac:dyDescent="0.3">
      <c r="K51" s="1079"/>
      <c r="L51" s="1079"/>
      <c r="M51" s="1080"/>
      <c r="N51" s="1080"/>
      <c r="O51" s="1081"/>
      <c r="P51" s="1081"/>
      <c r="Q51" s="1080"/>
    </row>
    <row r="52" spans="1:17" ht="15.75" thickBot="1" x14ac:dyDescent="0.3">
      <c r="A52" s="1279" t="s">
        <v>501</v>
      </c>
      <c r="B52" s="1280"/>
      <c r="C52" s="1280"/>
      <c r="D52" s="1280"/>
      <c r="E52" s="1281"/>
      <c r="K52" s="1079"/>
      <c r="L52" s="1079"/>
      <c r="M52" s="1080"/>
      <c r="N52" s="1080"/>
      <c r="O52" s="1081"/>
      <c r="P52" s="1081"/>
      <c r="Q52" s="1080"/>
    </row>
    <row r="53" spans="1:17" x14ac:dyDescent="0.25">
      <c r="A53" s="1051" t="s">
        <v>980</v>
      </c>
      <c r="K53" s="1079"/>
      <c r="L53" s="1079"/>
      <c r="M53" s="1080"/>
      <c r="N53" s="1080"/>
      <c r="O53" s="1081"/>
      <c r="P53" s="1081"/>
      <c r="Q53" s="1080"/>
    </row>
    <row r="54" spans="1:17" x14ac:dyDescent="0.25">
      <c r="K54" s="1079"/>
      <c r="L54" s="1079"/>
      <c r="M54" s="1080"/>
      <c r="N54" s="1080"/>
      <c r="O54" s="1081"/>
      <c r="P54" s="1081"/>
      <c r="Q54" s="1080"/>
    </row>
    <row r="55" spans="1:17" x14ac:dyDescent="0.25">
      <c r="K55" s="1079"/>
      <c r="L55" s="1079"/>
      <c r="M55" s="1080"/>
      <c r="N55" s="1080"/>
      <c r="O55" s="1081"/>
      <c r="P55" s="1081"/>
      <c r="Q55" s="1080"/>
    </row>
    <row r="56" spans="1:17" x14ac:dyDescent="0.25">
      <c r="A56" s="1051" t="s">
        <v>482</v>
      </c>
      <c r="B56" s="1083" t="s">
        <v>978</v>
      </c>
      <c r="C56" s="1051" t="s">
        <v>468</v>
      </c>
      <c r="K56" s="1079"/>
      <c r="L56" s="1079"/>
      <c r="M56" s="1080"/>
      <c r="N56" s="1080"/>
      <c r="O56" s="1081"/>
      <c r="P56" s="1081"/>
      <c r="Q56" s="1080"/>
    </row>
    <row r="57" spans="1:17" x14ac:dyDescent="0.25">
      <c r="A57" s="1051" t="s">
        <v>483</v>
      </c>
      <c r="B57" s="1051">
        <v>852.7</v>
      </c>
      <c r="C57" s="1051" t="s">
        <v>484</v>
      </c>
      <c r="K57" s="1079"/>
      <c r="L57" s="1079"/>
      <c r="M57" s="1080"/>
      <c r="N57" s="1080"/>
      <c r="O57" s="1081"/>
      <c r="P57" s="1081"/>
      <c r="Q57" s="1080"/>
    </row>
    <row r="58" spans="1:17" x14ac:dyDescent="0.25">
      <c r="A58" s="1051" t="s">
        <v>637</v>
      </c>
      <c r="B58" s="1051">
        <v>2090.8000000000002</v>
      </c>
      <c r="C58" s="1051" t="s">
        <v>979</v>
      </c>
      <c r="K58" s="1079"/>
      <c r="L58" s="1079"/>
      <c r="M58" s="1080"/>
      <c r="N58" s="1080"/>
      <c r="O58" s="1081"/>
      <c r="P58" s="1081"/>
      <c r="Q58" s="1080"/>
    </row>
    <row r="59" spans="1:17" x14ac:dyDescent="0.25">
      <c r="A59" s="1051" t="s">
        <v>638</v>
      </c>
      <c r="B59" s="1051">
        <v>1507.3</v>
      </c>
      <c r="C59" s="1051" t="s">
        <v>327</v>
      </c>
      <c r="K59" s="1079"/>
      <c r="L59" s="1079"/>
      <c r="M59" s="1080"/>
      <c r="N59" s="1080"/>
      <c r="O59" s="1081"/>
      <c r="P59" s="1081"/>
      <c r="Q59" s="1082"/>
    </row>
    <row r="60" spans="1:17" x14ac:dyDescent="0.25">
      <c r="A60" s="1051" t="s">
        <v>485</v>
      </c>
      <c r="B60" s="1051">
        <v>0</v>
      </c>
      <c r="C60" s="1051" t="s">
        <v>511</v>
      </c>
      <c r="K60" s="1079"/>
      <c r="L60" s="1079"/>
      <c r="M60" s="1080"/>
      <c r="N60" s="1080"/>
      <c r="O60" s="1081"/>
      <c r="P60" s="1081"/>
      <c r="Q60" s="1082"/>
    </row>
    <row r="61" spans="1:17" x14ac:dyDescent="0.25">
      <c r="A61" s="1051" t="s">
        <v>486</v>
      </c>
      <c r="B61" s="1051">
        <v>900</v>
      </c>
      <c r="C61" s="1051" t="s">
        <v>511</v>
      </c>
      <c r="K61" s="1079"/>
      <c r="L61" s="1079"/>
      <c r="M61" s="1080"/>
      <c r="N61" s="1080"/>
      <c r="O61" s="1081"/>
      <c r="P61" s="1081"/>
      <c r="Q61" s="1082"/>
    </row>
    <row r="62" spans="1:17" x14ac:dyDescent="0.25">
      <c r="A62" s="1051" t="s">
        <v>487</v>
      </c>
      <c r="B62" s="1051">
        <v>1907.5</v>
      </c>
      <c r="C62" s="1051" t="s">
        <v>683</v>
      </c>
    </row>
    <row r="63" spans="1:17" x14ac:dyDescent="0.25">
      <c r="A63" s="1051" t="s">
        <v>624</v>
      </c>
      <c r="B63" s="1051">
        <v>2217.6</v>
      </c>
    </row>
    <row r="64" spans="1:17" x14ac:dyDescent="0.25">
      <c r="A64" s="1051" t="s">
        <v>682</v>
      </c>
      <c r="B64" s="1051">
        <v>1539.5</v>
      </c>
    </row>
    <row r="65" spans="1:17" x14ac:dyDescent="0.25">
      <c r="K65" s="1079"/>
      <c r="L65" s="1079"/>
      <c r="M65" s="1082"/>
      <c r="N65" s="1080"/>
      <c r="O65" s="1081"/>
      <c r="P65" s="1081"/>
      <c r="Q65" s="1082"/>
    </row>
    <row r="66" spans="1:17" x14ac:dyDescent="0.25">
      <c r="K66" s="1079"/>
      <c r="L66" s="1079"/>
      <c r="M66" s="1080"/>
      <c r="N66" s="1080"/>
      <c r="O66" s="1081"/>
      <c r="P66" s="1081"/>
      <c r="Q66" s="1082"/>
    </row>
    <row r="67" spans="1:17" ht="15.75" thickBot="1" x14ac:dyDescent="0.3">
      <c r="K67" s="1079"/>
      <c r="L67" s="1079"/>
      <c r="M67" s="1082"/>
      <c r="N67" s="1080"/>
      <c r="O67" s="1081"/>
      <c r="P67" s="1081"/>
      <c r="Q67" s="1082"/>
    </row>
    <row r="68" spans="1:17" ht="15.75" thickBot="1" x14ac:dyDescent="0.3">
      <c r="A68" s="1279" t="s">
        <v>502</v>
      </c>
      <c r="B68" s="1280"/>
      <c r="C68" s="1280"/>
      <c r="D68" s="1280"/>
      <c r="E68" s="1281"/>
      <c r="K68" s="1079"/>
      <c r="L68" s="1079"/>
      <c r="M68" s="1080"/>
      <c r="N68" s="1080"/>
      <c r="O68" s="1081"/>
      <c r="P68" s="1081"/>
      <c r="Q68" s="1080"/>
    </row>
    <row r="69" spans="1:17" x14ac:dyDescent="0.25">
      <c r="A69" s="1051" t="s">
        <v>980</v>
      </c>
      <c r="B69" s="801"/>
      <c r="C69" s="801"/>
      <c r="D69" s="801"/>
      <c r="E69" s="801"/>
      <c r="K69" s="1079"/>
      <c r="L69" s="1079"/>
      <c r="M69" s="1082"/>
      <c r="N69" s="1080"/>
      <c r="O69" s="1081"/>
      <c r="P69" s="1081"/>
      <c r="Q69" s="1080"/>
    </row>
    <row r="70" spans="1:17" ht="15.75" thickBot="1" x14ac:dyDescent="0.3">
      <c r="B70" s="801"/>
      <c r="C70" s="801"/>
      <c r="D70" s="801"/>
      <c r="E70" s="801"/>
      <c r="K70" s="1079"/>
      <c r="L70" s="1079"/>
      <c r="M70" s="1080"/>
      <c r="N70" s="1080"/>
      <c r="O70" s="1081"/>
      <c r="P70" s="1081"/>
      <c r="Q70" s="1080"/>
    </row>
    <row r="71" spans="1:17" x14ac:dyDescent="0.25">
      <c r="A71" s="1084" t="s">
        <v>981</v>
      </c>
      <c r="B71" s="1085">
        <v>17705.099999999999</v>
      </c>
      <c r="C71" s="801"/>
      <c r="D71" s="801"/>
      <c r="E71" s="801"/>
      <c r="K71" s="1079"/>
      <c r="L71" s="1079"/>
      <c r="M71" s="1080"/>
      <c r="N71" s="1080"/>
      <c r="O71" s="1081"/>
      <c r="P71" s="1081"/>
      <c r="Q71" s="1080"/>
    </row>
    <row r="72" spans="1:17" x14ac:dyDescent="0.25">
      <c r="A72" s="1077" t="s">
        <v>684</v>
      </c>
      <c r="B72" s="1086">
        <v>12</v>
      </c>
      <c r="K72" s="1079"/>
      <c r="L72" s="1079"/>
      <c r="M72" s="1080"/>
      <c r="N72" s="1080"/>
      <c r="O72" s="1081"/>
      <c r="P72" s="1081"/>
      <c r="Q72" s="1080"/>
    </row>
    <row r="73" spans="1:17" x14ac:dyDescent="0.25">
      <c r="A73" s="1077" t="s">
        <v>843</v>
      </c>
      <c r="B73" s="1086">
        <v>34.4</v>
      </c>
      <c r="F73" s="741"/>
      <c r="K73" s="1079"/>
      <c r="L73" s="1079"/>
      <c r="M73" s="1080"/>
      <c r="N73" s="1080"/>
      <c r="O73" s="1081"/>
      <c r="P73" s="1081"/>
      <c r="Q73" s="1080"/>
    </row>
    <row r="74" spans="1:17" x14ac:dyDescent="0.25">
      <c r="A74" s="1077" t="s">
        <v>844</v>
      </c>
      <c r="B74" s="1086">
        <v>6159.2999999999993</v>
      </c>
      <c r="F74" s="741"/>
      <c r="K74" s="1079"/>
      <c r="L74" s="1079"/>
      <c r="M74" s="1080"/>
      <c r="N74" s="1080"/>
      <c r="O74" s="1081"/>
      <c r="P74" s="1081"/>
      <c r="Q74" s="1080"/>
    </row>
    <row r="75" spans="1:17" x14ac:dyDescent="0.25">
      <c r="A75" s="1077" t="s">
        <v>486</v>
      </c>
      <c r="B75" s="1086">
        <v>62.699999999999996</v>
      </c>
      <c r="F75" s="741"/>
      <c r="K75" s="1079"/>
      <c r="L75" s="1079"/>
      <c r="M75" s="1080"/>
      <c r="N75" s="1080"/>
      <c r="O75" s="1081"/>
      <c r="P75" s="1081"/>
      <c r="Q75" s="1080"/>
    </row>
    <row r="76" spans="1:17" x14ac:dyDescent="0.25">
      <c r="A76" s="1077" t="s">
        <v>845</v>
      </c>
      <c r="B76" s="1086">
        <v>3019.5</v>
      </c>
      <c r="F76" s="741"/>
      <c r="K76" s="1079"/>
      <c r="L76" s="1079"/>
      <c r="M76" s="1080"/>
      <c r="N76" s="1080"/>
      <c r="O76" s="1081"/>
      <c r="P76" s="1081"/>
      <c r="Q76" s="1080"/>
    </row>
    <row r="77" spans="1:17" x14ac:dyDescent="0.25">
      <c r="A77" s="1077" t="s">
        <v>846</v>
      </c>
      <c r="B77" s="1086">
        <v>31.4</v>
      </c>
      <c r="F77" s="741"/>
      <c r="K77" s="1079"/>
      <c r="L77" s="1079"/>
      <c r="M77" s="1080"/>
      <c r="N77" s="1080"/>
      <c r="O77" s="1081"/>
      <c r="P77" s="1081"/>
      <c r="Q77" s="1080"/>
    </row>
    <row r="78" spans="1:17" x14ac:dyDescent="0.25">
      <c r="A78" s="1077" t="s">
        <v>489</v>
      </c>
      <c r="B78" s="1086">
        <v>882.2</v>
      </c>
      <c r="F78" s="741"/>
      <c r="K78" s="1079"/>
      <c r="L78" s="1079"/>
      <c r="M78" s="1080"/>
      <c r="N78" s="1080"/>
      <c r="O78" s="1081"/>
      <c r="P78" s="1081"/>
      <c r="Q78" s="1080"/>
    </row>
    <row r="79" spans="1:17" x14ac:dyDescent="0.25">
      <c r="A79" s="1077" t="s">
        <v>847</v>
      </c>
      <c r="B79" s="1086">
        <v>114.60000000000001</v>
      </c>
      <c r="F79" s="741"/>
      <c r="K79" s="1079"/>
      <c r="L79" s="1079"/>
      <c r="M79" s="1080"/>
      <c r="N79" s="1080"/>
      <c r="O79" s="1081"/>
      <c r="P79" s="1081"/>
      <c r="Q79" s="1080"/>
    </row>
    <row r="80" spans="1:17" x14ac:dyDescent="0.25">
      <c r="A80" s="1077" t="s">
        <v>639</v>
      </c>
      <c r="B80" s="1086">
        <v>12.2</v>
      </c>
      <c r="F80" s="741"/>
      <c r="K80" s="1079"/>
      <c r="L80" s="1079"/>
      <c r="M80" s="1080"/>
      <c r="N80" s="1080"/>
      <c r="O80" s="1081"/>
      <c r="P80" s="1081"/>
      <c r="Q80" s="1080"/>
    </row>
    <row r="81" spans="1:17" x14ac:dyDescent="0.25">
      <c r="A81" s="1077" t="s">
        <v>848</v>
      </c>
      <c r="B81" s="1086">
        <v>51.8</v>
      </c>
      <c r="F81" s="741"/>
      <c r="K81" s="1079"/>
      <c r="L81" s="1079"/>
      <c r="M81" s="1080"/>
      <c r="N81" s="1080"/>
      <c r="O81" s="1081"/>
      <c r="P81" s="1081"/>
      <c r="Q81" s="1080"/>
    </row>
    <row r="82" spans="1:17" ht="15" customHeight="1" x14ac:dyDescent="0.25">
      <c r="A82" s="1077" t="s">
        <v>495</v>
      </c>
      <c r="B82" s="1086">
        <v>34.200000000000003</v>
      </c>
      <c r="F82" s="741"/>
      <c r="K82" s="1079"/>
      <c r="L82" s="1079"/>
      <c r="M82" s="1080"/>
      <c r="N82" s="1080"/>
      <c r="O82" s="1081"/>
      <c r="P82" s="1081"/>
      <c r="Q82" s="1080"/>
    </row>
    <row r="83" spans="1:17" x14ac:dyDescent="0.25">
      <c r="A83" s="1077" t="s">
        <v>496</v>
      </c>
      <c r="B83" s="1086">
        <v>129.9</v>
      </c>
      <c r="F83" s="741"/>
      <c r="K83" s="1079"/>
      <c r="L83" s="1079"/>
      <c r="M83" s="1080"/>
      <c r="N83" s="1080"/>
      <c r="O83" s="1081"/>
      <c r="P83" s="1081"/>
      <c r="Q83" s="1080"/>
    </row>
    <row r="84" spans="1:17" x14ac:dyDescent="0.25">
      <c r="A84" s="1077" t="s">
        <v>982</v>
      </c>
      <c r="B84" s="1086">
        <v>10</v>
      </c>
      <c r="F84" s="741"/>
      <c r="K84" s="1079"/>
      <c r="L84" s="1079"/>
      <c r="M84" s="1080"/>
      <c r="N84" s="1080"/>
      <c r="O84" s="1081"/>
      <c r="P84" s="1081"/>
      <c r="Q84" s="1082"/>
    </row>
    <row r="85" spans="1:17" x14ac:dyDescent="0.25">
      <c r="A85" s="1077" t="s">
        <v>329</v>
      </c>
      <c r="B85" s="1086">
        <v>1033.2</v>
      </c>
      <c r="F85" s="741"/>
      <c r="K85" s="1079"/>
      <c r="L85" s="1079"/>
      <c r="M85" s="1082"/>
      <c r="N85" s="1080"/>
      <c r="O85" s="1081"/>
      <c r="P85" s="1081"/>
      <c r="Q85" s="1082"/>
    </row>
    <row r="86" spans="1:17" x14ac:dyDescent="0.25">
      <c r="A86" s="1077" t="s">
        <v>497</v>
      </c>
      <c r="B86" s="1086">
        <v>2915.0999999999995</v>
      </c>
      <c r="F86" s="741"/>
      <c r="K86" s="1079"/>
      <c r="L86" s="1079"/>
      <c r="M86" s="1080"/>
      <c r="N86" s="1080"/>
      <c r="O86" s="1081"/>
      <c r="P86" s="1081"/>
      <c r="Q86" s="1080"/>
    </row>
    <row r="87" spans="1:17" x14ac:dyDescent="0.25">
      <c r="A87" s="1077" t="s">
        <v>498</v>
      </c>
      <c r="B87" s="1086">
        <v>1310.1000000000001</v>
      </c>
      <c r="F87" s="741"/>
      <c r="K87" s="1079"/>
      <c r="L87" s="1079"/>
      <c r="M87" s="1082"/>
      <c r="N87" s="1080"/>
      <c r="O87" s="1081"/>
      <c r="P87" s="1081"/>
      <c r="Q87" s="1082"/>
    </row>
    <row r="88" spans="1:17" x14ac:dyDescent="0.25">
      <c r="A88" s="1077" t="s">
        <v>499</v>
      </c>
      <c r="B88" s="1086">
        <v>1892.5</v>
      </c>
      <c r="F88" s="741"/>
      <c r="K88" s="1079"/>
      <c r="L88" s="1079"/>
      <c r="M88" s="1080"/>
      <c r="N88" s="1080"/>
      <c r="O88" s="1081"/>
      <c r="P88" s="1081"/>
      <c r="Q88" s="1082"/>
    </row>
    <row r="89" spans="1:17" x14ac:dyDescent="0.25">
      <c r="A89" s="1084" t="s">
        <v>983</v>
      </c>
      <c r="B89" s="1087">
        <v>13054.800000000001</v>
      </c>
      <c r="F89" s="741"/>
      <c r="K89" s="1079"/>
      <c r="L89" s="1079"/>
      <c r="M89" s="1082"/>
      <c r="N89" s="1080"/>
      <c r="O89" s="1081"/>
      <c r="P89" s="1081"/>
      <c r="Q89" s="1082"/>
    </row>
    <row r="90" spans="1:17" x14ac:dyDescent="0.25">
      <c r="A90" s="1077" t="s">
        <v>488</v>
      </c>
      <c r="B90" s="1086">
        <v>6416.0000000000009</v>
      </c>
      <c r="C90" s="1051" t="s">
        <v>468</v>
      </c>
      <c r="F90" s="741"/>
    </row>
    <row r="91" spans="1:17" x14ac:dyDescent="0.25">
      <c r="A91" s="1077" t="s">
        <v>491</v>
      </c>
      <c r="B91" s="1086">
        <v>492.69999999999993</v>
      </c>
      <c r="C91" s="1051" t="s">
        <v>468</v>
      </c>
      <c r="F91" s="741"/>
    </row>
    <row r="92" spans="1:17" x14ac:dyDescent="0.25">
      <c r="A92" s="1077" t="s">
        <v>492</v>
      </c>
      <c r="B92" s="1086">
        <v>1691.2</v>
      </c>
      <c r="C92" s="1051" t="s">
        <v>468</v>
      </c>
      <c r="F92" s="741"/>
    </row>
    <row r="93" spans="1:17" x14ac:dyDescent="0.25">
      <c r="A93" s="1077" t="s">
        <v>493</v>
      </c>
      <c r="B93" s="1086">
        <v>2303</v>
      </c>
      <c r="C93" s="1051" t="s">
        <v>468</v>
      </c>
      <c r="F93" s="741"/>
    </row>
    <row r="94" spans="1:17" x14ac:dyDescent="0.25">
      <c r="A94" s="1077" t="s">
        <v>494</v>
      </c>
      <c r="B94" s="1086">
        <v>2151.9</v>
      </c>
      <c r="C94" s="1051" t="s">
        <v>468</v>
      </c>
      <c r="F94" s="741"/>
    </row>
    <row r="95" spans="1:17" x14ac:dyDescent="0.25">
      <c r="A95" s="1084" t="s">
        <v>984</v>
      </c>
      <c r="B95" s="1087">
        <v>5.9</v>
      </c>
      <c r="F95" s="741"/>
    </row>
    <row r="96" spans="1:17" x14ac:dyDescent="0.25">
      <c r="A96" s="1077" t="s">
        <v>985</v>
      </c>
      <c r="B96" s="1086">
        <v>5.9</v>
      </c>
      <c r="C96" s="1051" t="s">
        <v>468</v>
      </c>
      <c r="F96" s="741"/>
    </row>
    <row r="97" spans="1:7" x14ac:dyDescent="0.25">
      <c r="A97" s="1084" t="s">
        <v>986</v>
      </c>
      <c r="B97" s="1087">
        <v>9699.8000000000011</v>
      </c>
      <c r="F97" s="741"/>
    </row>
    <row r="98" spans="1:7" x14ac:dyDescent="0.25">
      <c r="A98" s="1077" t="s">
        <v>490</v>
      </c>
      <c r="B98" s="1086">
        <v>4174.1000000000004</v>
      </c>
      <c r="C98" s="1051" t="s">
        <v>468</v>
      </c>
      <c r="F98" s="1088"/>
      <c r="G98" s="1076"/>
    </row>
    <row r="99" spans="1:7" x14ac:dyDescent="0.25">
      <c r="A99" s="1077" t="s">
        <v>500</v>
      </c>
      <c r="B99" s="1086">
        <v>2301.5</v>
      </c>
      <c r="C99" s="1051" t="s">
        <v>468</v>
      </c>
    </row>
    <row r="100" spans="1:7" x14ac:dyDescent="0.25">
      <c r="A100" s="1077" t="s">
        <v>849</v>
      </c>
      <c r="B100" s="1086">
        <v>3224.2000000000007</v>
      </c>
      <c r="C100" s="1051" t="s">
        <v>468</v>
      </c>
    </row>
    <row r="101" spans="1:7" ht="15.75" thickBot="1" x14ac:dyDescent="0.3">
      <c r="A101" s="1089" t="s">
        <v>987</v>
      </c>
      <c r="B101" s="1090">
        <v>40465.600000000006</v>
      </c>
    </row>
    <row r="102" spans="1:7" x14ac:dyDescent="0.25">
      <c r="A102" s="1051" t="s">
        <v>850</v>
      </c>
      <c r="B102" s="1051">
        <v>0</v>
      </c>
      <c r="C102" s="1051" t="s">
        <v>468</v>
      </c>
      <c r="F102" s="741"/>
    </row>
    <row r="103" spans="1:7" x14ac:dyDescent="0.25">
      <c r="F103" s="741"/>
    </row>
    <row r="104" spans="1:7" x14ac:dyDescent="0.25">
      <c r="F104" s="741"/>
    </row>
    <row r="105" spans="1:7" x14ac:dyDescent="0.25">
      <c r="F105" s="741"/>
    </row>
    <row r="106" spans="1:7" ht="15.75" thickBot="1" x14ac:dyDescent="0.3">
      <c r="A106" s="1040"/>
      <c r="B106" s="1040"/>
      <c r="F106" s="741"/>
    </row>
    <row r="107" spans="1:7" ht="15.75" thickTop="1" x14ac:dyDescent="0.25">
      <c r="B107" s="1076">
        <f>SUM(B91:B102)+SUM(B83:B86)+SUM(B74:B81)+B72</f>
        <v>80949.7</v>
      </c>
      <c r="C107" s="1051" t="s">
        <v>715</v>
      </c>
      <c r="F107" s="1088"/>
    </row>
  </sheetData>
  <mergeCells count="4">
    <mergeCell ref="A1:D1"/>
    <mergeCell ref="A68:E68"/>
    <mergeCell ref="A52:E52"/>
    <mergeCell ref="D48:F49"/>
  </mergeCells>
  <pageMargins left="0.7" right="0.7" top="0.75" bottom="0.75" header="0.3" footer="0.3"/>
  <pageSetup scale="4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opLeftCell="H1" zoomScale="70" zoomScaleNormal="70" workbookViewId="0">
      <selection activeCell="K11" sqref="K11"/>
    </sheetView>
  </sheetViews>
  <sheetFormatPr defaultRowHeight="15" x14ac:dyDescent="0.25"/>
  <cols>
    <col min="2" max="2" width="16.7109375" customWidth="1"/>
    <col min="3" max="3" width="18.5703125" customWidth="1"/>
    <col min="4" max="7" width="13.140625" customWidth="1"/>
    <col min="10" max="10" width="16" customWidth="1"/>
    <col min="11" max="11" width="12.7109375" customWidth="1"/>
    <col min="12" max="12" width="12.85546875" customWidth="1"/>
    <col min="13" max="13" width="12.28515625" customWidth="1"/>
    <col min="14" max="14" width="12.7109375" customWidth="1"/>
    <col min="15" max="15" width="14.7109375" customWidth="1"/>
    <col min="16" max="16" width="11.140625" customWidth="1"/>
    <col min="17" max="17" width="14" customWidth="1"/>
  </cols>
  <sheetData>
    <row r="1" spans="1:17" x14ac:dyDescent="0.25">
      <c r="A1" s="1273" t="s">
        <v>617</v>
      </c>
      <c r="B1" s="1273"/>
      <c r="C1" s="1273"/>
      <c r="D1" s="1273"/>
      <c r="E1" s="1273"/>
      <c r="F1" s="1273"/>
      <c r="G1" s="1273"/>
      <c r="J1" s="1273" t="s">
        <v>617</v>
      </c>
      <c r="K1" s="1273"/>
      <c r="L1" s="1273"/>
      <c r="M1" s="1273"/>
      <c r="N1" s="1273"/>
      <c r="O1" s="1273"/>
      <c r="P1" s="1273"/>
    </row>
    <row r="2" spans="1:17" x14ac:dyDescent="0.25">
      <c r="A2" s="1273" t="s">
        <v>1045</v>
      </c>
      <c r="B2" s="1273"/>
      <c r="C2" s="1273"/>
      <c r="D2" s="1273"/>
      <c r="E2" s="1273"/>
      <c r="F2" s="1273"/>
      <c r="G2" s="1273"/>
      <c r="J2" s="1273" t="s">
        <v>1046</v>
      </c>
      <c r="K2" s="1273"/>
      <c r="L2" s="1273"/>
      <c r="M2" s="1273"/>
      <c r="N2" s="1273"/>
      <c r="O2" s="1273"/>
      <c r="P2" s="1273"/>
    </row>
    <row r="3" spans="1:17" x14ac:dyDescent="0.25">
      <c r="J3" s="725"/>
      <c r="K3" s="725"/>
      <c r="L3" s="725"/>
      <c r="M3" s="725"/>
      <c r="N3" s="725"/>
      <c r="O3" s="725"/>
      <c r="P3" s="725"/>
    </row>
    <row r="4" spans="1:17" x14ac:dyDescent="0.25">
      <c r="B4" t="s">
        <v>612</v>
      </c>
      <c r="J4" s="725"/>
      <c r="K4" s="725" t="s">
        <v>612</v>
      </c>
      <c r="L4" s="725"/>
      <c r="M4" s="725"/>
      <c r="N4" s="725"/>
      <c r="O4" s="725"/>
      <c r="P4" s="725"/>
    </row>
    <row r="6" spans="1:17" x14ac:dyDescent="0.25">
      <c r="B6" t="s">
        <v>618</v>
      </c>
      <c r="J6" s="725" t="s">
        <v>904</v>
      </c>
      <c r="K6" s="725"/>
      <c r="L6" s="725"/>
      <c r="M6" s="725"/>
      <c r="N6" s="725"/>
      <c r="O6" s="725"/>
    </row>
    <row r="7" spans="1:17" x14ac:dyDescent="0.25">
      <c r="B7" t="s">
        <v>606</v>
      </c>
      <c r="C7">
        <f>24*8760</f>
        <v>210240</v>
      </c>
      <c r="D7" t="s">
        <v>619</v>
      </c>
      <c r="J7" s="725" t="s">
        <v>606</v>
      </c>
      <c r="K7" s="725">
        <f>23*8760</f>
        <v>201480</v>
      </c>
      <c r="L7" s="725" t="s">
        <v>905</v>
      </c>
      <c r="M7" s="725"/>
      <c r="N7" s="725"/>
      <c r="O7" s="725"/>
    </row>
    <row r="8" spans="1:17" x14ac:dyDescent="0.25">
      <c r="C8" s="18">
        <f>C7/'CHP Fuel Use, CEMS Data'!K49</f>
        <v>204.11650485436894</v>
      </c>
      <c r="D8" t="s">
        <v>613</v>
      </c>
      <c r="J8" s="725"/>
      <c r="K8" s="18">
        <f>K7*1000000/P10/1000</f>
        <v>2206.0659148144096</v>
      </c>
      <c r="L8" s="725" t="s">
        <v>901</v>
      </c>
      <c r="M8" s="725"/>
      <c r="N8" s="725"/>
      <c r="O8" s="725"/>
    </row>
    <row r="9" spans="1:17" x14ac:dyDescent="0.25">
      <c r="C9" s="18"/>
      <c r="J9" s="725"/>
      <c r="K9" s="18"/>
      <c r="L9" s="725"/>
      <c r="M9" s="725"/>
      <c r="N9" s="725"/>
      <c r="O9" s="725"/>
    </row>
    <row r="10" spans="1:17" x14ac:dyDescent="0.25">
      <c r="B10" t="s">
        <v>1047</v>
      </c>
      <c r="C10">
        <f>'NG, Diesel and Propane totals'!D43</f>
        <v>125854.58</v>
      </c>
      <c r="D10" t="s">
        <v>611</v>
      </c>
      <c r="J10" s="725" t="s">
        <v>1047</v>
      </c>
      <c r="K10" s="25">
        <f>'NG, Diesel and Propane totals'!B71</f>
        <v>17705.099999999999</v>
      </c>
      <c r="L10" s="725" t="s">
        <v>902</v>
      </c>
      <c r="M10" s="725"/>
      <c r="N10" s="725"/>
      <c r="O10" s="725"/>
      <c r="P10">
        <v>91330</v>
      </c>
      <c r="Q10" t="s">
        <v>900</v>
      </c>
    </row>
    <row r="11" spans="1:17" x14ac:dyDescent="0.25">
      <c r="C11">
        <f>C10*0.1</f>
        <v>12585.458000000001</v>
      </c>
      <c r="D11" t="s">
        <v>246</v>
      </c>
      <c r="J11" s="725"/>
      <c r="K11" s="725">
        <f>K10/1000</f>
        <v>17.705099999999998</v>
      </c>
      <c r="L11" s="725" t="s">
        <v>903</v>
      </c>
      <c r="M11" s="725"/>
      <c r="N11" s="725"/>
      <c r="O11" s="725"/>
      <c r="P11" s="743">
        <v>2.5999999999999999E-2</v>
      </c>
      <c r="Q11" s="742" t="s">
        <v>913</v>
      </c>
    </row>
    <row r="12" spans="1:17" x14ac:dyDescent="0.25">
      <c r="C12" s="18">
        <f>C11/'CHP Fuel Use, CEMS Data'!K49</f>
        <v>12.218891262135923</v>
      </c>
      <c r="D12" t="s">
        <v>579</v>
      </c>
      <c r="J12" s="725"/>
      <c r="K12" s="18"/>
      <c r="L12" s="725"/>
      <c r="M12" s="725"/>
      <c r="N12" s="725"/>
      <c r="O12" s="725"/>
      <c r="Q12" t="s">
        <v>912</v>
      </c>
    </row>
    <row r="13" spans="1:17" x14ac:dyDescent="0.25">
      <c r="B13" t="s">
        <v>620</v>
      </c>
      <c r="J13" s="725" t="s">
        <v>906</v>
      </c>
      <c r="K13" s="725"/>
      <c r="L13" s="725"/>
      <c r="M13" s="725"/>
      <c r="N13" s="725"/>
      <c r="O13" s="725"/>
    </row>
    <row r="14" spans="1:17" x14ac:dyDescent="0.25">
      <c r="G14" s="725">
        <f>C11/'CHP Fuel Use, CEMS Data'!K49</f>
        <v>12.218891262135923</v>
      </c>
      <c r="J14" s="725"/>
      <c r="K14" s="725"/>
      <c r="L14" s="725"/>
      <c r="M14" s="725"/>
      <c r="N14" s="725"/>
      <c r="O14" s="725"/>
    </row>
    <row r="15" spans="1:17" ht="45" x14ac:dyDescent="0.25">
      <c r="B15" t="s">
        <v>5</v>
      </c>
      <c r="C15" s="488">
        <f>C14/'CHP Fuel Use, CEMS Data'!K49</f>
        <v>0</v>
      </c>
      <c r="D15" s="488" t="s">
        <v>608</v>
      </c>
      <c r="E15" s="488" t="s">
        <v>514</v>
      </c>
      <c r="F15" s="488" t="s">
        <v>609</v>
      </c>
      <c r="G15" s="488" t="s">
        <v>515</v>
      </c>
      <c r="J15" s="725" t="s">
        <v>5</v>
      </c>
      <c r="K15" s="724" t="s">
        <v>899</v>
      </c>
      <c r="L15" s="724" t="s">
        <v>608</v>
      </c>
      <c r="M15" s="724" t="s">
        <v>514</v>
      </c>
      <c r="N15" s="724" t="s">
        <v>609</v>
      </c>
      <c r="O15" s="724" t="s">
        <v>515</v>
      </c>
    </row>
    <row r="16" spans="1:17" x14ac:dyDescent="0.25">
      <c r="B16" t="s">
        <v>12</v>
      </c>
      <c r="C16">
        <v>100</v>
      </c>
      <c r="D16" s="18">
        <f>$C$12*C16</f>
        <v>1221.8891262135924</v>
      </c>
      <c r="E16" s="18">
        <f>D16/2000</f>
        <v>0.61094456310679623</v>
      </c>
      <c r="F16" s="2">
        <f>$C$8*C16</f>
        <v>20411.650485436894</v>
      </c>
      <c r="G16" s="18">
        <f>F16/2000</f>
        <v>10.205825242718447</v>
      </c>
      <c r="J16" s="725" t="s">
        <v>12</v>
      </c>
      <c r="K16" s="725">
        <v>13</v>
      </c>
      <c r="L16" s="18">
        <f>$K$11*K16</f>
        <v>230.16629999999998</v>
      </c>
      <c r="M16" s="5">
        <f>L16/2000</f>
        <v>0.11508315</v>
      </c>
      <c r="N16" s="2">
        <f>$K$8*K16</f>
        <v>28678.856892587326</v>
      </c>
      <c r="O16" s="5">
        <f>N16/2000</f>
        <v>14.339428446293663</v>
      </c>
    </row>
    <row r="17" spans="2:15" x14ac:dyDescent="0.25">
      <c r="B17" t="s">
        <v>183</v>
      </c>
      <c r="C17">
        <v>0.6</v>
      </c>
      <c r="D17" s="18">
        <f t="shared" ref="D17:D23" si="0">$C$12*C17</f>
        <v>7.331334757281553</v>
      </c>
      <c r="E17" s="447">
        <f t="shared" ref="E17:E23" si="1">D17/2000</f>
        <v>3.6656673786407763E-3</v>
      </c>
      <c r="F17" s="2">
        <f t="shared" ref="F17:F23" si="2">$C$8*C17</f>
        <v>122.46990291262136</v>
      </c>
      <c r="G17" s="18">
        <f t="shared" ref="G17:G23" si="3">F17/2000</f>
        <v>6.1234951456310679E-2</v>
      </c>
      <c r="J17" s="725" t="s">
        <v>183</v>
      </c>
      <c r="K17" s="725">
        <f>0.1*P11</f>
        <v>2.5999999999999999E-3</v>
      </c>
      <c r="L17" s="18">
        <f t="shared" ref="L17:L22" si="4">$K$11*K17</f>
        <v>4.6033259999999993E-2</v>
      </c>
      <c r="M17" s="5">
        <f t="shared" ref="M17:M22" si="5">L17/2000</f>
        <v>2.3016629999999998E-5</v>
      </c>
      <c r="N17" s="2">
        <f t="shared" ref="N17:N22" si="6">$K$8*K17</f>
        <v>5.7357713785174642</v>
      </c>
      <c r="O17" s="5">
        <f t="shared" ref="O17:O22" si="7">N17/2000</f>
        <v>2.8678856892587323E-3</v>
      </c>
    </row>
    <row r="18" spans="2:15" x14ac:dyDescent="0.25">
      <c r="B18" t="s">
        <v>1</v>
      </c>
      <c r="C18">
        <v>84</v>
      </c>
      <c r="D18" s="18">
        <f t="shared" si="0"/>
        <v>1026.3868660194175</v>
      </c>
      <c r="E18" s="18">
        <f t="shared" si="1"/>
        <v>0.51319343300970877</v>
      </c>
      <c r="F18" s="2">
        <f t="shared" si="2"/>
        <v>17145.786407766991</v>
      </c>
      <c r="G18" s="18">
        <f t="shared" si="3"/>
        <v>8.5728932038834955</v>
      </c>
      <c r="J18" s="725" t="s">
        <v>1</v>
      </c>
      <c r="K18" s="725">
        <v>7.5</v>
      </c>
      <c r="L18" s="18">
        <f t="shared" si="4"/>
        <v>132.78824999999998</v>
      </c>
      <c r="M18" s="5">
        <f t="shared" si="5"/>
        <v>6.6394124999999984E-2</v>
      </c>
      <c r="N18" s="2">
        <f t="shared" si="6"/>
        <v>16545.494361108071</v>
      </c>
      <c r="O18" s="5">
        <f t="shared" si="7"/>
        <v>8.2727471805540347</v>
      </c>
    </row>
    <row r="19" spans="2:15" x14ac:dyDescent="0.25">
      <c r="B19" t="s">
        <v>4</v>
      </c>
      <c r="C19">
        <v>1.9</v>
      </c>
      <c r="D19" s="18">
        <f t="shared" si="0"/>
        <v>23.215893398058252</v>
      </c>
      <c r="E19" s="18">
        <f t="shared" si="1"/>
        <v>1.1607946699029125E-2</v>
      </c>
      <c r="F19" s="2">
        <f t="shared" si="2"/>
        <v>387.82135922330099</v>
      </c>
      <c r="G19" s="18">
        <f t="shared" si="3"/>
        <v>0.19391067961165048</v>
      </c>
      <c r="J19" s="725" t="s">
        <v>4</v>
      </c>
      <c r="K19" s="725">
        <v>0.2</v>
      </c>
      <c r="L19" s="18">
        <f t="shared" si="4"/>
        <v>3.5410199999999996</v>
      </c>
      <c r="M19" s="5">
        <f t="shared" si="5"/>
        <v>1.7705099999999999E-3</v>
      </c>
      <c r="N19" s="2">
        <f t="shared" si="6"/>
        <v>441.21318296288194</v>
      </c>
      <c r="O19" s="5">
        <f t="shared" si="7"/>
        <v>0.22060659148144096</v>
      </c>
    </row>
    <row r="20" spans="2:15" x14ac:dyDescent="0.25">
      <c r="B20" t="s">
        <v>60</v>
      </c>
      <c r="C20">
        <v>1.9</v>
      </c>
      <c r="D20" s="18">
        <f t="shared" si="0"/>
        <v>23.215893398058252</v>
      </c>
      <c r="E20" s="18">
        <f t="shared" si="1"/>
        <v>1.1607946699029125E-2</v>
      </c>
      <c r="F20" s="2">
        <f t="shared" si="2"/>
        <v>387.82135922330099</v>
      </c>
      <c r="G20" s="18">
        <f t="shared" si="3"/>
        <v>0.19391067961165048</v>
      </c>
      <c r="J20" s="725" t="s">
        <v>60</v>
      </c>
      <c r="K20" s="725">
        <v>0.2</v>
      </c>
      <c r="L20" s="18">
        <f t="shared" si="4"/>
        <v>3.5410199999999996</v>
      </c>
      <c r="M20" s="5">
        <f t="shared" si="5"/>
        <v>1.7705099999999999E-3</v>
      </c>
      <c r="N20" s="2">
        <f t="shared" si="6"/>
        <v>441.21318296288194</v>
      </c>
      <c r="O20" s="5">
        <f t="shared" si="7"/>
        <v>0.22060659148144096</v>
      </c>
    </row>
    <row r="21" spans="2:15" x14ac:dyDescent="0.25">
      <c r="B21" t="s">
        <v>61</v>
      </c>
      <c r="C21">
        <v>1.9</v>
      </c>
      <c r="D21" s="18">
        <f t="shared" si="0"/>
        <v>23.215893398058252</v>
      </c>
      <c r="E21" s="18">
        <f t="shared" si="1"/>
        <v>1.1607946699029125E-2</v>
      </c>
      <c r="F21" s="2">
        <f t="shared" si="2"/>
        <v>387.82135922330099</v>
      </c>
      <c r="G21" s="18">
        <f t="shared" si="3"/>
        <v>0.19391067961165048</v>
      </c>
      <c r="J21" s="725" t="s">
        <v>61</v>
      </c>
      <c r="K21" s="725">
        <v>0.2</v>
      </c>
      <c r="L21" s="18">
        <f t="shared" si="4"/>
        <v>3.5410199999999996</v>
      </c>
      <c r="M21" s="5">
        <f t="shared" si="5"/>
        <v>1.7705099999999999E-3</v>
      </c>
      <c r="N21" s="2">
        <f t="shared" si="6"/>
        <v>441.21318296288194</v>
      </c>
      <c r="O21" s="5">
        <f t="shared" si="7"/>
        <v>0.22060659148144096</v>
      </c>
    </row>
    <row r="22" spans="2:15" x14ac:dyDescent="0.25">
      <c r="B22" t="s">
        <v>610</v>
      </c>
      <c r="C22">
        <v>5.5</v>
      </c>
      <c r="D22" s="18">
        <f t="shared" si="0"/>
        <v>67.203901941747574</v>
      </c>
      <c r="E22" s="18">
        <f t="shared" si="1"/>
        <v>3.360195097087379E-2</v>
      </c>
      <c r="F22" s="2">
        <f t="shared" si="2"/>
        <v>1122.6407766990292</v>
      </c>
      <c r="G22" s="18">
        <f t="shared" si="3"/>
        <v>0.56132038834951459</v>
      </c>
      <c r="J22" s="725" t="s">
        <v>610</v>
      </c>
      <c r="K22" s="725">
        <v>1</v>
      </c>
      <c r="L22" s="18">
        <f t="shared" si="4"/>
        <v>17.705099999999998</v>
      </c>
      <c r="M22" s="5">
        <f t="shared" si="5"/>
        <v>8.852549999999999E-3</v>
      </c>
      <c r="N22" s="2">
        <f t="shared" si="6"/>
        <v>2206.0659148144096</v>
      </c>
      <c r="O22" s="5">
        <f t="shared" si="7"/>
        <v>1.1030329574072049</v>
      </c>
    </row>
    <row r="23" spans="2:15" x14ac:dyDescent="0.25">
      <c r="B23" t="s">
        <v>102</v>
      </c>
      <c r="C23">
        <v>0.49</v>
      </c>
      <c r="D23" s="18">
        <f t="shared" si="0"/>
        <v>5.9872567184466021</v>
      </c>
      <c r="E23" s="5">
        <f t="shared" si="1"/>
        <v>2.9936283592233012E-3</v>
      </c>
      <c r="F23" s="2">
        <f t="shared" si="2"/>
        <v>100.01708737864078</v>
      </c>
      <c r="G23" s="18">
        <f t="shared" si="3"/>
        <v>5.0008543689320388E-2</v>
      </c>
      <c r="J23" s="725" t="s">
        <v>102</v>
      </c>
      <c r="K23" s="739" t="s">
        <v>168</v>
      </c>
      <c r="L23" s="740" t="s">
        <v>168</v>
      </c>
      <c r="M23" s="740" t="s">
        <v>168</v>
      </c>
      <c r="N23" s="740" t="s">
        <v>168</v>
      </c>
      <c r="O23" s="740" t="s">
        <v>168</v>
      </c>
    </row>
    <row r="24" spans="2:15" x14ac:dyDescent="0.25">
      <c r="J24" s="725"/>
      <c r="K24" s="725"/>
      <c r="L24" s="725"/>
      <c r="M24" s="725"/>
      <c r="N24" s="725"/>
      <c r="O24" s="725"/>
    </row>
    <row r="27" spans="2:15" x14ac:dyDescent="0.25">
      <c r="C27" t="s">
        <v>614</v>
      </c>
      <c r="D27">
        <f>24/1025</f>
        <v>2.3414634146341463E-2</v>
      </c>
      <c r="E27" t="s">
        <v>605</v>
      </c>
    </row>
    <row r="29" spans="2:15" x14ac:dyDescent="0.25">
      <c r="C29" s="6" t="s">
        <v>222</v>
      </c>
      <c r="D29">
        <v>12</v>
      </c>
    </row>
    <row r="30" spans="2:15" x14ac:dyDescent="0.25">
      <c r="C30" s="6" t="s">
        <v>223</v>
      </c>
      <c r="D30">
        <v>7</v>
      </c>
    </row>
    <row r="31" spans="2:15" x14ac:dyDescent="0.25">
      <c r="C31" s="6" t="s">
        <v>224</v>
      </c>
      <c r="D31">
        <v>20</v>
      </c>
    </row>
  </sheetData>
  <mergeCells count="4">
    <mergeCell ref="A1:G1"/>
    <mergeCell ref="A2:G2"/>
    <mergeCell ref="J1:P1"/>
    <mergeCell ref="J2:P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topLeftCell="A54" workbookViewId="0">
      <selection activeCell="H63" sqref="H63:H75"/>
    </sheetView>
  </sheetViews>
  <sheetFormatPr defaultRowHeight="12.75" x14ac:dyDescent="0.2"/>
  <cols>
    <col min="1" max="1" width="29.42578125" style="4" customWidth="1"/>
    <col min="2" max="2" width="15" style="4" customWidth="1"/>
    <col min="3" max="3" width="9.140625" style="4" customWidth="1"/>
    <col min="4" max="4" width="12" style="4" customWidth="1"/>
    <col min="5" max="5" width="9.140625" style="4" customWidth="1"/>
    <col min="6" max="6" width="11.140625" style="625" customWidth="1"/>
    <col min="7" max="7" width="11.140625" style="4" customWidth="1"/>
    <col min="8" max="8" width="9.42578125" style="4" customWidth="1"/>
    <col min="9" max="16384" width="9.140625" style="4"/>
  </cols>
  <sheetData>
    <row r="1" spans="1:8" ht="15" customHeight="1" x14ac:dyDescent="0.2">
      <c r="A1" s="4" t="s">
        <v>818</v>
      </c>
      <c r="C1" s="1285"/>
      <c r="D1" s="1285"/>
      <c r="E1" s="1285"/>
      <c r="F1" s="1285"/>
    </row>
    <row r="2" spans="1:8" x14ac:dyDescent="0.2">
      <c r="A2" s="4" t="s">
        <v>1024</v>
      </c>
      <c r="C2" s="1285"/>
      <c r="D2" s="1285"/>
      <c r="E2" s="1285"/>
      <c r="F2" s="1285"/>
    </row>
    <row r="3" spans="1:8" ht="16.5" customHeight="1" x14ac:dyDescent="0.2">
      <c r="A3" s="4" t="s">
        <v>830</v>
      </c>
      <c r="C3" s="1285"/>
      <c r="D3" s="1285"/>
      <c r="E3" s="1285"/>
      <c r="F3" s="1285"/>
    </row>
    <row r="4" spans="1:8" ht="13.5" thickBot="1" x14ac:dyDescent="0.25">
      <c r="F4" s="632"/>
    </row>
    <row r="5" spans="1:8" ht="26.25" thickBot="1" x14ac:dyDescent="0.25">
      <c r="A5" s="621" t="s">
        <v>387</v>
      </c>
      <c r="B5" s="622" t="s">
        <v>718</v>
      </c>
      <c r="C5" s="622" t="s">
        <v>32</v>
      </c>
      <c r="D5" s="623" t="s">
        <v>252</v>
      </c>
      <c r="E5" s="623" t="s">
        <v>516</v>
      </c>
      <c r="F5" s="1037" t="s">
        <v>1025</v>
      </c>
      <c r="G5" s="1036" t="s">
        <v>1026</v>
      </c>
      <c r="H5" s="626" t="s">
        <v>829</v>
      </c>
    </row>
    <row r="6" spans="1:8" x14ac:dyDescent="0.2">
      <c r="A6" s="726" t="s">
        <v>537</v>
      </c>
      <c r="B6" s="4" t="s">
        <v>797</v>
      </c>
      <c r="C6" s="4" t="s">
        <v>322</v>
      </c>
      <c r="D6" s="535" t="s">
        <v>399</v>
      </c>
      <c r="E6" s="4">
        <v>350</v>
      </c>
      <c r="F6" s="704">
        <v>68.599999999999994</v>
      </c>
      <c r="G6" s="4">
        <v>70.3</v>
      </c>
      <c r="H6" s="627">
        <f>G6-F6</f>
        <v>1.7000000000000028</v>
      </c>
    </row>
    <row r="7" spans="1:8" x14ac:dyDescent="0.2">
      <c r="A7" s="726" t="s">
        <v>727</v>
      </c>
      <c r="B7" s="4" t="s">
        <v>728</v>
      </c>
      <c r="C7" s="4" t="s">
        <v>322</v>
      </c>
      <c r="D7" s="535" t="s">
        <v>399</v>
      </c>
      <c r="E7" s="4">
        <v>150</v>
      </c>
      <c r="F7" s="704">
        <v>30.1</v>
      </c>
      <c r="G7" s="4">
        <v>33.6</v>
      </c>
      <c r="H7" s="627">
        <f t="shared" ref="H7:H70" si="0">G7-F7</f>
        <v>3.5</v>
      </c>
    </row>
    <row r="8" spans="1:8" x14ac:dyDescent="0.2">
      <c r="A8" s="726" t="s">
        <v>534</v>
      </c>
      <c r="B8" s="628" t="s">
        <v>746</v>
      </c>
      <c r="C8" s="4" t="s">
        <v>322</v>
      </c>
      <c r="D8" s="535" t="s">
        <v>528</v>
      </c>
      <c r="E8" s="4">
        <v>80</v>
      </c>
      <c r="F8" s="704">
        <v>37.9</v>
      </c>
      <c r="G8" s="4">
        <v>44.9</v>
      </c>
      <c r="H8" s="627">
        <f t="shared" si="0"/>
        <v>7</v>
      </c>
    </row>
    <row r="9" spans="1:8" x14ac:dyDescent="0.2">
      <c r="A9" s="729" t="s">
        <v>641</v>
      </c>
      <c r="B9" s="629" t="s">
        <v>761</v>
      </c>
      <c r="C9" s="4" t="s">
        <v>322</v>
      </c>
      <c r="D9" s="4" t="s">
        <v>399</v>
      </c>
      <c r="E9" s="4">
        <v>200</v>
      </c>
      <c r="F9" s="704">
        <v>18.100000000000001</v>
      </c>
      <c r="G9" s="4">
        <v>26.8</v>
      </c>
      <c r="H9" s="627">
        <f t="shared" si="0"/>
        <v>8.6999999999999993</v>
      </c>
    </row>
    <row r="10" spans="1:8" x14ac:dyDescent="0.2">
      <c r="A10" s="727" t="s">
        <v>523</v>
      </c>
      <c r="B10" s="277"/>
      <c r="C10" s="4" t="s">
        <v>322</v>
      </c>
      <c r="D10" s="535" t="s">
        <v>396</v>
      </c>
      <c r="E10" s="4">
        <v>125</v>
      </c>
      <c r="F10" s="704">
        <v>167</v>
      </c>
      <c r="G10" s="4">
        <v>177</v>
      </c>
      <c r="H10" s="627">
        <f t="shared" si="0"/>
        <v>10</v>
      </c>
    </row>
    <row r="11" spans="1:8" x14ac:dyDescent="0.2">
      <c r="A11" s="726" t="s">
        <v>539</v>
      </c>
      <c r="B11" s="4" t="s">
        <v>792</v>
      </c>
      <c r="C11" s="4" t="s">
        <v>322</v>
      </c>
      <c r="D11" s="535" t="s">
        <v>399</v>
      </c>
      <c r="E11" s="4">
        <v>180</v>
      </c>
      <c r="F11" s="704">
        <v>26.6</v>
      </c>
      <c r="G11" s="4">
        <v>30</v>
      </c>
      <c r="H11" s="627">
        <f t="shared" si="0"/>
        <v>3.3999999999999986</v>
      </c>
    </row>
    <row r="12" spans="1:8" x14ac:dyDescent="0.2">
      <c r="A12" s="726" t="s">
        <v>723</v>
      </c>
      <c r="B12" s="1052" t="s">
        <v>724</v>
      </c>
      <c r="C12" s="4" t="s">
        <v>322</v>
      </c>
      <c r="D12" s="535" t="s">
        <v>399</v>
      </c>
      <c r="E12" s="4">
        <v>100</v>
      </c>
      <c r="F12" s="704">
        <v>245.5</v>
      </c>
      <c r="G12" s="4">
        <v>247.7</v>
      </c>
      <c r="H12" s="627">
        <f t="shared" si="0"/>
        <v>2.1999999999999886</v>
      </c>
    </row>
    <row r="13" spans="1:8" x14ac:dyDescent="0.2">
      <c r="A13" s="726" t="s">
        <v>540</v>
      </c>
      <c r="B13" s="4" t="s">
        <v>783</v>
      </c>
      <c r="C13" s="4" t="s">
        <v>322</v>
      </c>
      <c r="D13" s="535" t="s">
        <v>399</v>
      </c>
      <c r="E13" s="4">
        <v>35</v>
      </c>
      <c r="F13" s="704">
        <v>55</v>
      </c>
      <c r="G13" s="4">
        <v>72.8</v>
      </c>
      <c r="H13" s="627">
        <f t="shared" si="0"/>
        <v>17.799999999999997</v>
      </c>
    </row>
    <row r="14" spans="1:8" x14ac:dyDescent="0.2">
      <c r="A14" s="726" t="s">
        <v>541</v>
      </c>
      <c r="B14" s="4" t="s">
        <v>793</v>
      </c>
      <c r="C14" s="4" t="s">
        <v>322</v>
      </c>
      <c r="D14" s="535" t="s">
        <v>399</v>
      </c>
      <c r="E14" s="4">
        <v>200</v>
      </c>
      <c r="F14" s="704">
        <v>28.6</v>
      </c>
      <c r="G14" s="4">
        <v>31.4</v>
      </c>
      <c r="H14" s="627">
        <f t="shared" si="0"/>
        <v>2.7999999999999972</v>
      </c>
    </row>
    <row r="15" spans="1:8" x14ac:dyDescent="0.2">
      <c r="A15" s="726" t="s">
        <v>642</v>
      </c>
      <c r="B15" s="4" t="s">
        <v>719</v>
      </c>
      <c r="C15" s="4" t="s">
        <v>322</v>
      </c>
      <c r="D15" s="535" t="s">
        <v>396</v>
      </c>
      <c r="E15" s="4">
        <v>37.1</v>
      </c>
      <c r="F15" s="704">
        <v>11.4</v>
      </c>
      <c r="G15" s="4">
        <v>11.4</v>
      </c>
      <c r="H15" s="627">
        <f t="shared" si="0"/>
        <v>0</v>
      </c>
    </row>
    <row r="16" spans="1:8" x14ac:dyDescent="0.2">
      <c r="A16" s="534" t="s">
        <v>805</v>
      </c>
      <c r="C16" s="4" t="s">
        <v>322</v>
      </c>
      <c r="D16" s="535"/>
      <c r="F16" s="704"/>
      <c r="H16" s="627"/>
    </row>
    <row r="17" spans="1:8" x14ac:dyDescent="0.2">
      <c r="A17" s="726" t="s">
        <v>554</v>
      </c>
      <c r="B17" s="4" t="s">
        <v>796</v>
      </c>
      <c r="C17" s="4" t="s">
        <v>322</v>
      </c>
      <c r="D17" s="535" t="s">
        <v>399</v>
      </c>
      <c r="E17" s="4">
        <v>75</v>
      </c>
      <c r="F17" s="704">
        <v>0</v>
      </c>
      <c r="G17" s="4">
        <v>8</v>
      </c>
      <c r="H17" s="627">
        <f t="shared" si="0"/>
        <v>8</v>
      </c>
    </row>
    <row r="18" spans="1:8" x14ac:dyDescent="0.2">
      <c r="A18" s="726" t="s">
        <v>520</v>
      </c>
      <c r="B18" s="4" t="s">
        <v>795</v>
      </c>
      <c r="C18" s="4" t="s">
        <v>322</v>
      </c>
      <c r="D18" s="535" t="s">
        <v>396</v>
      </c>
      <c r="E18" s="4">
        <v>1000</v>
      </c>
      <c r="F18" s="704">
        <v>231</v>
      </c>
      <c r="G18" s="4">
        <v>234</v>
      </c>
      <c r="H18" s="627">
        <f t="shared" si="0"/>
        <v>3</v>
      </c>
    </row>
    <row r="19" spans="1:8" x14ac:dyDescent="0.2">
      <c r="A19" s="726" t="s">
        <v>527</v>
      </c>
      <c r="B19" s="4" t="s">
        <v>774</v>
      </c>
      <c r="C19" s="4" t="s">
        <v>322</v>
      </c>
      <c r="D19" s="535" t="s">
        <v>528</v>
      </c>
      <c r="E19" s="4">
        <v>115</v>
      </c>
      <c r="F19" s="704">
        <v>497.5</v>
      </c>
      <c r="G19" s="4">
        <v>502.1</v>
      </c>
      <c r="H19" s="627">
        <f t="shared" si="0"/>
        <v>4.6000000000000227</v>
      </c>
    </row>
    <row r="20" spans="1:8" x14ac:dyDescent="0.2">
      <c r="A20" s="726" t="s">
        <v>542</v>
      </c>
      <c r="B20" s="4" t="s">
        <v>779</v>
      </c>
      <c r="C20" s="4" t="s">
        <v>322</v>
      </c>
      <c r="D20" s="535" t="s">
        <v>401</v>
      </c>
      <c r="E20" s="4">
        <v>15</v>
      </c>
      <c r="F20" s="704">
        <v>161.19999999999999</v>
      </c>
      <c r="G20" s="4">
        <v>164.1</v>
      </c>
      <c r="H20" s="627">
        <f t="shared" si="0"/>
        <v>2.9000000000000057</v>
      </c>
    </row>
    <row r="21" spans="1:8" x14ac:dyDescent="0.2">
      <c r="A21" s="727" t="s">
        <v>756</v>
      </c>
      <c r="B21" s="277" t="s">
        <v>757</v>
      </c>
      <c r="C21" s="4" t="s">
        <v>322</v>
      </c>
      <c r="D21" s="535" t="s">
        <v>396</v>
      </c>
      <c r="E21" s="4">
        <v>111</v>
      </c>
      <c r="F21" s="704">
        <v>87</v>
      </c>
      <c r="G21" s="4">
        <v>89</v>
      </c>
      <c r="H21" s="627">
        <f t="shared" si="0"/>
        <v>2</v>
      </c>
    </row>
    <row r="22" spans="1:8" x14ac:dyDescent="0.2">
      <c r="A22" s="727" t="s">
        <v>643</v>
      </c>
      <c r="B22" s="277" t="s">
        <v>750</v>
      </c>
      <c r="C22" s="4" t="s">
        <v>322</v>
      </c>
      <c r="D22" s="535" t="s">
        <v>399</v>
      </c>
      <c r="E22" s="4">
        <v>100</v>
      </c>
      <c r="F22" s="704">
        <v>14.9</v>
      </c>
      <c r="G22" s="4">
        <v>17.5</v>
      </c>
      <c r="H22" s="627">
        <f t="shared" si="0"/>
        <v>2.5999999999999996</v>
      </c>
    </row>
    <row r="23" spans="1:8" x14ac:dyDescent="0.2">
      <c r="A23" s="727" t="s">
        <v>474</v>
      </c>
      <c r="B23" s="4" t="s">
        <v>790</v>
      </c>
      <c r="C23" s="4" t="s">
        <v>322</v>
      </c>
      <c r="D23" s="535" t="s">
        <v>396</v>
      </c>
      <c r="E23" s="630">
        <v>250</v>
      </c>
      <c r="F23" s="704">
        <v>17.2</v>
      </c>
      <c r="G23" s="4">
        <v>24.2</v>
      </c>
      <c r="H23" s="627">
        <f t="shared" si="0"/>
        <v>7</v>
      </c>
    </row>
    <row r="24" spans="1:8" x14ac:dyDescent="0.2">
      <c r="A24" s="726" t="s">
        <v>525</v>
      </c>
      <c r="B24" s="631" t="s">
        <v>800</v>
      </c>
      <c r="C24" s="4" t="s">
        <v>322</v>
      </c>
      <c r="D24" s="535" t="s">
        <v>396</v>
      </c>
      <c r="E24" s="4">
        <v>500</v>
      </c>
      <c r="F24" s="704">
        <v>147</v>
      </c>
      <c r="G24" s="4">
        <v>151</v>
      </c>
      <c r="H24" s="627">
        <f t="shared" si="0"/>
        <v>4</v>
      </c>
    </row>
    <row r="25" spans="1:8" x14ac:dyDescent="0.2">
      <c r="A25" s="726" t="s">
        <v>644</v>
      </c>
      <c r="B25" s="4" t="s">
        <v>791</v>
      </c>
      <c r="C25" s="4" t="s">
        <v>322</v>
      </c>
      <c r="D25" s="535" t="s">
        <v>528</v>
      </c>
      <c r="E25" s="4">
        <v>200</v>
      </c>
      <c r="F25" s="704">
        <v>83.4</v>
      </c>
      <c r="G25" s="4">
        <v>85.7</v>
      </c>
      <c r="H25" s="627">
        <f t="shared" si="0"/>
        <v>2.2999999999999972</v>
      </c>
    </row>
    <row r="26" spans="1:8" x14ac:dyDescent="0.2">
      <c r="A26" s="729" t="s">
        <v>748</v>
      </c>
      <c r="B26" s="629" t="s">
        <v>749</v>
      </c>
      <c r="C26" s="4" t="s">
        <v>322</v>
      </c>
      <c r="D26" s="4" t="s">
        <v>548</v>
      </c>
      <c r="E26" s="4">
        <v>400</v>
      </c>
      <c r="F26" s="704">
        <v>14.5</v>
      </c>
      <c r="G26" s="4">
        <v>18.600000000000001</v>
      </c>
      <c r="H26" s="627">
        <f t="shared" si="0"/>
        <v>4.1000000000000014</v>
      </c>
    </row>
    <row r="27" spans="1:8" x14ac:dyDescent="0.2">
      <c r="A27" s="726" t="s">
        <v>721</v>
      </c>
      <c r="B27" s="4" t="s">
        <v>722</v>
      </c>
      <c r="C27" s="4" t="s">
        <v>322</v>
      </c>
      <c r="D27" s="535" t="s">
        <v>399</v>
      </c>
      <c r="E27" s="4">
        <v>150</v>
      </c>
      <c r="F27" s="704">
        <v>7</v>
      </c>
      <c r="G27" s="4">
        <v>11.1</v>
      </c>
      <c r="H27" s="627">
        <f t="shared" si="0"/>
        <v>4.0999999999999996</v>
      </c>
    </row>
    <row r="28" spans="1:8" x14ac:dyDescent="0.2">
      <c r="A28" s="730" t="s">
        <v>733</v>
      </c>
      <c r="B28" s="4" t="s">
        <v>734</v>
      </c>
      <c r="C28" s="4" t="s">
        <v>322</v>
      </c>
      <c r="D28" s="535" t="s">
        <v>399</v>
      </c>
      <c r="E28" s="4">
        <v>100</v>
      </c>
      <c r="F28" s="704">
        <v>81.2</v>
      </c>
      <c r="G28" s="4">
        <v>93.5</v>
      </c>
      <c r="H28" s="627">
        <f t="shared" si="0"/>
        <v>12.299999999999997</v>
      </c>
    </row>
    <row r="29" spans="1:8" x14ac:dyDescent="0.2">
      <c r="A29" s="729" t="s">
        <v>744</v>
      </c>
      <c r="B29" s="629" t="s">
        <v>745</v>
      </c>
      <c r="C29" s="4" t="s">
        <v>322</v>
      </c>
      <c r="D29" s="535" t="s">
        <v>396</v>
      </c>
      <c r="E29" s="4">
        <v>800</v>
      </c>
      <c r="F29" s="704">
        <v>89.5</v>
      </c>
      <c r="G29" s="4">
        <v>97.8</v>
      </c>
      <c r="H29" s="627">
        <f t="shared" si="0"/>
        <v>8.2999999999999972</v>
      </c>
    </row>
    <row r="30" spans="1:8" x14ac:dyDescent="0.2">
      <c r="A30" s="726" t="s">
        <v>801</v>
      </c>
      <c r="B30" s="4" t="s">
        <v>802</v>
      </c>
      <c r="C30" s="4" t="s">
        <v>322</v>
      </c>
      <c r="D30" s="535" t="s">
        <v>548</v>
      </c>
      <c r="E30" s="4">
        <v>300</v>
      </c>
      <c r="F30" s="704">
        <v>110.4</v>
      </c>
      <c r="G30" s="4">
        <v>113.6</v>
      </c>
      <c r="H30" s="627">
        <f t="shared" si="0"/>
        <v>3.1999999999999886</v>
      </c>
    </row>
    <row r="31" spans="1:8" x14ac:dyDescent="0.2">
      <c r="A31" s="727" t="s">
        <v>742</v>
      </c>
      <c r="B31" s="277" t="s">
        <v>743</v>
      </c>
      <c r="C31" s="4" t="s">
        <v>322</v>
      </c>
      <c r="D31" s="535" t="s">
        <v>399</v>
      </c>
      <c r="E31" s="4">
        <v>200</v>
      </c>
      <c r="F31" s="704">
        <v>16</v>
      </c>
      <c r="G31" s="4">
        <v>26.1</v>
      </c>
      <c r="H31" s="627">
        <f t="shared" si="0"/>
        <v>10.100000000000001</v>
      </c>
    </row>
    <row r="32" spans="1:8" x14ac:dyDescent="0.2">
      <c r="A32" s="727" t="s">
        <v>729</v>
      </c>
      <c r="B32" s="277" t="s">
        <v>730</v>
      </c>
      <c r="C32" s="4" t="s">
        <v>322</v>
      </c>
      <c r="D32" s="535" t="s">
        <v>396</v>
      </c>
      <c r="E32" s="4">
        <v>800</v>
      </c>
      <c r="F32" s="704">
        <v>94.6</v>
      </c>
      <c r="G32" s="4">
        <v>100</v>
      </c>
      <c r="H32" s="627">
        <f t="shared" si="0"/>
        <v>5.4000000000000057</v>
      </c>
    </row>
    <row r="33" spans="1:11" x14ac:dyDescent="0.2">
      <c r="A33" s="726" t="s">
        <v>529</v>
      </c>
      <c r="B33" s="4" t="s">
        <v>775</v>
      </c>
      <c r="C33" s="4" t="s">
        <v>322</v>
      </c>
      <c r="D33" s="535" t="s">
        <v>528</v>
      </c>
      <c r="E33" s="4">
        <v>125</v>
      </c>
      <c r="F33" s="704">
        <v>490.2</v>
      </c>
      <c r="G33" s="4" t="s">
        <v>1027</v>
      </c>
      <c r="H33" s="703"/>
    </row>
    <row r="34" spans="1:11" x14ac:dyDescent="0.2">
      <c r="A34" s="726" t="s">
        <v>530</v>
      </c>
      <c r="B34" s="4" t="s">
        <v>776</v>
      </c>
      <c r="C34" s="4" t="s">
        <v>322</v>
      </c>
      <c r="D34" s="535" t="s">
        <v>528</v>
      </c>
      <c r="E34" s="4">
        <v>125</v>
      </c>
      <c r="F34" s="704">
        <v>505.5</v>
      </c>
      <c r="G34" s="4">
        <v>509.2</v>
      </c>
      <c r="H34" s="627">
        <f t="shared" si="0"/>
        <v>3.6999999999999886</v>
      </c>
      <c r="I34" s="1283"/>
      <c r="J34" s="1284"/>
      <c r="K34" s="1284"/>
    </row>
    <row r="35" spans="1:11" x14ac:dyDescent="0.2">
      <c r="A35" s="726" t="s">
        <v>531</v>
      </c>
      <c r="B35" s="4" t="s">
        <v>773</v>
      </c>
      <c r="C35" s="4" t="s">
        <v>322</v>
      </c>
      <c r="D35" s="535" t="s">
        <v>401</v>
      </c>
      <c r="E35" s="4">
        <v>115</v>
      </c>
      <c r="F35" s="704">
        <v>533</v>
      </c>
      <c r="G35" s="4">
        <v>543.1</v>
      </c>
      <c r="H35" s="627">
        <f t="shared" si="0"/>
        <v>10.100000000000023</v>
      </c>
    </row>
    <row r="36" spans="1:11" x14ac:dyDescent="0.2">
      <c r="A36" s="727" t="s">
        <v>890</v>
      </c>
      <c r="B36" s="277"/>
      <c r="C36" s="4" t="s">
        <v>322</v>
      </c>
      <c r="D36" s="535" t="s">
        <v>396</v>
      </c>
      <c r="E36" s="4">
        <v>250</v>
      </c>
      <c r="F36" s="704">
        <v>166</v>
      </c>
      <c r="G36" s="4">
        <v>171</v>
      </c>
      <c r="H36" s="627">
        <f t="shared" si="0"/>
        <v>5</v>
      </c>
    </row>
    <row r="37" spans="1:11" x14ac:dyDescent="0.2">
      <c r="A37" s="726" t="s">
        <v>736</v>
      </c>
      <c r="B37" s="4" t="s">
        <v>737</v>
      </c>
      <c r="C37" s="4" t="s">
        <v>322</v>
      </c>
      <c r="D37" s="4" t="s">
        <v>528</v>
      </c>
      <c r="E37" s="4">
        <v>1500</v>
      </c>
      <c r="F37" s="704">
        <v>90.5</v>
      </c>
      <c r="G37" s="4">
        <v>98.7</v>
      </c>
      <c r="H37" s="627">
        <f t="shared" si="0"/>
        <v>8.2000000000000028</v>
      </c>
    </row>
    <row r="38" spans="1:11" x14ac:dyDescent="0.2">
      <c r="A38" s="726" t="s">
        <v>738</v>
      </c>
      <c r="B38" s="4" t="s">
        <v>739</v>
      </c>
      <c r="C38" s="4" t="s">
        <v>322</v>
      </c>
      <c r="D38" s="4" t="s">
        <v>528</v>
      </c>
      <c r="E38" s="4">
        <v>1500</v>
      </c>
      <c r="F38" s="704">
        <v>62.4</v>
      </c>
      <c r="G38" s="4">
        <v>65.900000000000006</v>
      </c>
      <c r="H38" s="627">
        <f t="shared" si="0"/>
        <v>3.5000000000000071</v>
      </c>
    </row>
    <row r="39" spans="1:11" x14ac:dyDescent="0.2">
      <c r="A39" s="726" t="s">
        <v>908</v>
      </c>
      <c r="B39" s="4" t="s">
        <v>788</v>
      </c>
      <c r="C39" s="704" t="s">
        <v>322</v>
      </c>
      <c r="D39" s="535" t="s">
        <v>399</v>
      </c>
      <c r="E39" s="4">
        <v>565</v>
      </c>
      <c r="F39" s="704">
        <v>312.60000000000002</v>
      </c>
      <c r="G39" s="4">
        <v>320.10000000000002</v>
      </c>
      <c r="H39" s="703">
        <f t="shared" si="0"/>
        <v>7.5</v>
      </c>
    </row>
    <row r="40" spans="1:11" x14ac:dyDescent="0.2">
      <c r="A40" s="726" t="s">
        <v>543</v>
      </c>
      <c r="B40" s="4" t="s">
        <v>794</v>
      </c>
      <c r="C40" s="4" t="s">
        <v>322</v>
      </c>
      <c r="D40" s="535" t="s">
        <v>399</v>
      </c>
      <c r="E40" s="4">
        <v>200</v>
      </c>
      <c r="F40" s="704">
        <v>25.7</v>
      </c>
      <c r="G40" s="4">
        <v>31.2</v>
      </c>
      <c r="H40" s="627">
        <f t="shared" si="0"/>
        <v>5.5</v>
      </c>
    </row>
    <row r="41" spans="1:11" x14ac:dyDescent="0.2">
      <c r="A41" s="726" t="s">
        <v>544</v>
      </c>
      <c r="B41" s="4" t="s">
        <v>785</v>
      </c>
      <c r="C41" s="4" t="s">
        <v>322</v>
      </c>
      <c r="D41" s="535" t="s">
        <v>399</v>
      </c>
      <c r="E41" s="4">
        <v>35</v>
      </c>
      <c r="F41" s="704">
        <v>46.7</v>
      </c>
      <c r="G41" s="4">
        <v>49.6</v>
      </c>
      <c r="H41" s="627">
        <f t="shared" si="0"/>
        <v>2.8999999999999986</v>
      </c>
    </row>
    <row r="42" spans="1:11" x14ac:dyDescent="0.2">
      <c r="A42" s="729" t="s">
        <v>655</v>
      </c>
      <c r="B42" s="628" t="s">
        <v>803</v>
      </c>
      <c r="C42" s="4" t="s">
        <v>322</v>
      </c>
      <c r="D42" s="628" t="s">
        <v>804</v>
      </c>
      <c r="E42" s="4">
        <v>250</v>
      </c>
      <c r="F42" s="704">
        <v>83.6</v>
      </c>
      <c r="G42" s="4">
        <v>89.4</v>
      </c>
      <c r="H42" s="627">
        <f t="shared" si="0"/>
        <v>5.8000000000000114</v>
      </c>
    </row>
    <row r="43" spans="1:11" x14ac:dyDescent="0.2">
      <c r="A43" s="726" t="s">
        <v>806</v>
      </c>
      <c r="C43" s="4" t="s">
        <v>322</v>
      </c>
      <c r="D43" s="535" t="s">
        <v>399</v>
      </c>
      <c r="E43" s="4">
        <v>500</v>
      </c>
      <c r="F43" s="704"/>
      <c r="H43" s="627">
        <f t="shared" si="0"/>
        <v>0</v>
      </c>
    </row>
    <row r="44" spans="1:11" x14ac:dyDescent="0.2">
      <c r="A44" s="534" t="s">
        <v>894</v>
      </c>
      <c r="C44" s="4" t="s">
        <v>322</v>
      </c>
      <c r="D44" s="734" t="s">
        <v>892</v>
      </c>
      <c r="F44" s="704"/>
      <c r="H44" s="627"/>
    </row>
    <row r="45" spans="1:11" x14ac:dyDescent="0.2">
      <c r="A45" s="726" t="s">
        <v>751</v>
      </c>
      <c r="B45" s="4" t="s">
        <v>752</v>
      </c>
      <c r="C45" s="4" t="s">
        <v>322</v>
      </c>
      <c r="D45" s="535" t="s">
        <v>399</v>
      </c>
      <c r="E45" s="4">
        <v>100</v>
      </c>
      <c r="F45" s="704">
        <v>14.2</v>
      </c>
      <c r="G45" s="4">
        <v>17.8</v>
      </c>
      <c r="H45" s="627">
        <f t="shared" si="0"/>
        <v>3.6000000000000014</v>
      </c>
    </row>
    <row r="46" spans="1:11" x14ac:dyDescent="0.2">
      <c r="A46" s="726" t="s">
        <v>809</v>
      </c>
      <c r="B46" s="4" t="s">
        <v>810</v>
      </c>
      <c r="C46" s="4" t="s">
        <v>322</v>
      </c>
      <c r="D46" s="535" t="s">
        <v>399</v>
      </c>
      <c r="E46" s="4">
        <v>180</v>
      </c>
      <c r="F46" s="704">
        <v>121</v>
      </c>
      <c r="G46" s="4">
        <v>156.80000000000001</v>
      </c>
      <c r="H46" s="627">
        <f t="shared" si="0"/>
        <v>35.800000000000011</v>
      </c>
    </row>
    <row r="47" spans="1:11" x14ac:dyDescent="0.2">
      <c r="A47" s="727" t="s">
        <v>553</v>
      </c>
      <c r="B47" s="277" t="s">
        <v>758</v>
      </c>
      <c r="C47" s="4" t="s">
        <v>322</v>
      </c>
      <c r="D47" s="535" t="s">
        <v>396</v>
      </c>
      <c r="E47" s="4">
        <v>80</v>
      </c>
      <c r="F47" s="704">
        <v>34</v>
      </c>
      <c r="G47" s="4">
        <v>36.5</v>
      </c>
      <c r="H47" s="703">
        <f t="shared" si="0"/>
        <v>2.5</v>
      </c>
    </row>
    <row r="48" spans="1:11" x14ac:dyDescent="0.2">
      <c r="A48" s="726" t="s">
        <v>545</v>
      </c>
      <c r="B48" s="4" t="s">
        <v>784</v>
      </c>
      <c r="C48" s="4" t="s">
        <v>322</v>
      </c>
      <c r="D48" s="535" t="s">
        <v>528</v>
      </c>
      <c r="E48" s="4">
        <v>20</v>
      </c>
      <c r="F48" s="704">
        <v>123.5</v>
      </c>
      <c r="G48" s="4">
        <v>135.6</v>
      </c>
      <c r="H48" s="627">
        <f t="shared" si="0"/>
        <v>12.099999999999994</v>
      </c>
    </row>
    <row r="49" spans="1:8" x14ac:dyDescent="0.2">
      <c r="A49" s="726" t="s">
        <v>780</v>
      </c>
      <c r="B49" s="4" t="s">
        <v>781</v>
      </c>
      <c r="C49" s="4" t="s">
        <v>322</v>
      </c>
      <c r="D49" s="535" t="s">
        <v>401</v>
      </c>
      <c r="E49" s="4">
        <v>15</v>
      </c>
      <c r="F49" s="704">
        <v>14.5</v>
      </c>
      <c r="G49" s="4">
        <v>17.899999999999999</v>
      </c>
      <c r="H49" s="627">
        <f t="shared" si="0"/>
        <v>3.3999999999999986</v>
      </c>
    </row>
    <row r="50" spans="1:8" x14ac:dyDescent="0.2">
      <c r="A50" s="726" t="s">
        <v>731</v>
      </c>
      <c r="B50" s="4" t="s">
        <v>732</v>
      </c>
      <c r="C50" s="4" t="s">
        <v>322</v>
      </c>
      <c r="D50" s="535" t="s">
        <v>399</v>
      </c>
      <c r="E50" s="4">
        <v>60</v>
      </c>
      <c r="F50" s="704">
        <v>66.400000000000006</v>
      </c>
      <c r="G50" s="4">
        <v>68</v>
      </c>
      <c r="H50" s="703">
        <f t="shared" si="0"/>
        <v>1.5999999999999943</v>
      </c>
    </row>
    <row r="51" spans="1:8" x14ac:dyDescent="0.2">
      <c r="A51" s="726" t="s">
        <v>532</v>
      </c>
      <c r="B51" s="4" t="s">
        <v>720</v>
      </c>
      <c r="C51" s="4" t="s">
        <v>322</v>
      </c>
      <c r="D51" s="535" t="s">
        <v>528</v>
      </c>
      <c r="E51" s="278">
        <v>247</v>
      </c>
      <c r="F51" s="704">
        <v>66</v>
      </c>
      <c r="G51" s="4">
        <v>67.099999999999994</v>
      </c>
      <c r="H51" s="627">
        <f t="shared" si="0"/>
        <v>1.0999999999999943</v>
      </c>
    </row>
    <row r="52" spans="1:8" x14ac:dyDescent="0.2">
      <c r="A52" s="726" t="s">
        <v>798</v>
      </c>
      <c r="B52" s="4" t="s">
        <v>799</v>
      </c>
      <c r="C52" s="4" t="s">
        <v>322</v>
      </c>
      <c r="D52" s="535" t="s">
        <v>399</v>
      </c>
      <c r="E52" s="4">
        <v>510</v>
      </c>
      <c r="F52" s="704">
        <v>215.9</v>
      </c>
      <c r="G52" s="4">
        <v>223.1</v>
      </c>
      <c r="H52" s="627">
        <f t="shared" si="0"/>
        <v>7.1999999999999886</v>
      </c>
    </row>
    <row r="53" spans="1:8" x14ac:dyDescent="0.2">
      <c r="A53" s="727" t="s">
        <v>808</v>
      </c>
      <c r="B53" s="277"/>
      <c r="C53" s="4" t="s">
        <v>322</v>
      </c>
      <c r="D53" s="535" t="s">
        <v>396</v>
      </c>
      <c r="E53" s="4">
        <v>125</v>
      </c>
      <c r="F53" s="704">
        <v>220</v>
      </c>
      <c r="G53" s="4">
        <v>225</v>
      </c>
      <c r="H53" s="627">
        <f t="shared" si="0"/>
        <v>5</v>
      </c>
    </row>
    <row r="54" spans="1:8" x14ac:dyDescent="0.2">
      <c r="A54" s="728" t="s">
        <v>552</v>
      </c>
      <c r="B54" s="277" t="s">
        <v>755</v>
      </c>
      <c r="C54" s="4" t="s">
        <v>322</v>
      </c>
      <c r="D54" s="535" t="s">
        <v>399</v>
      </c>
      <c r="E54" s="4">
        <v>100</v>
      </c>
      <c r="F54" s="704">
        <v>35.5</v>
      </c>
      <c r="G54" s="4">
        <v>39.6</v>
      </c>
      <c r="H54" s="627">
        <f t="shared" si="0"/>
        <v>4.1000000000000014</v>
      </c>
    </row>
    <row r="55" spans="1:8" x14ac:dyDescent="0.2">
      <c r="A55" s="728" t="s">
        <v>524</v>
      </c>
      <c r="B55" s="277"/>
      <c r="C55" s="4" t="s">
        <v>322</v>
      </c>
      <c r="D55" s="535" t="s">
        <v>396</v>
      </c>
      <c r="E55" s="4">
        <v>125</v>
      </c>
      <c r="F55" s="704">
        <v>146</v>
      </c>
      <c r="G55" s="4">
        <v>151</v>
      </c>
      <c r="H55" s="627">
        <f t="shared" si="0"/>
        <v>5</v>
      </c>
    </row>
    <row r="56" spans="1:8" s="820" customFormat="1" ht="15" x14ac:dyDescent="0.25">
      <c r="A56" s="1046" t="s">
        <v>1040</v>
      </c>
      <c r="B56" s="1049" t="s">
        <v>766</v>
      </c>
      <c r="C56" s="820" t="s">
        <v>322</v>
      </c>
      <c r="D56" s="535" t="s">
        <v>401</v>
      </c>
      <c r="E56" s="820">
        <v>6</v>
      </c>
      <c r="F56" s="704">
        <v>20.8</v>
      </c>
      <c r="G56" s="820">
        <v>29.3</v>
      </c>
      <c r="H56" s="627">
        <f t="shared" si="0"/>
        <v>8.5</v>
      </c>
    </row>
    <row r="57" spans="1:8" x14ac:dyDescent="0.2">
      <c r="A57" s="730" t="s">
        <v>546</v>
      </c>
      <c r="B57" s="4" t="s">
        <v>789</v>
      </c>
      <c r="C57" s="4" t="s">
        <v>322</v>
      </c>
      <c r="D57" s="535" t="s">
        <v>401</v>
      </c>
      <c r="E57" s="4">
        <v>30</v>
      </c>
      <c r="F57" s="704">
        <v>494.8</v>
      </c>
      <c r="G57" s="4">
        <v>495.8</v>
      </c>
      <c r="H57" s="627">
        <f t="shared" si="0"/>
        <v>1</v>
      </c>
    </row>
    <row r="58" spans="1:8" x14ac:dyDescent="0.2">
      <c r="A58" s="730" t="s">
        <v>753</v>
      </c>
      <c r="B58" s="4" t="s">
        <v>754</v>
      </c>
      <c r="C58" s="4" t="s">
        <v>322</v>
      </c>
      <c r="D58" s="535" t="s">
        <v>401</v>
      </c>
      <c r="E58" s="4">
        <v>350</v>
      </c>
      <c r="F58" s="704">
        <v>12.1</v>
      </c>
      <c r="G58" s="4">
        <v>16.2</v>
      </c>
      <c r="H58" s="627">
        <f t="shared" si="0"/>
        <v>4.0999999999999996</v>
      </c>
    </row>
    <row r="59" spans="1:8" x14ac:dyDescent="0.2">
      <c r="A59" s="728" t="s">
        <v>535</v>
      </c>
      <c r="B59" s="277" t="s">
        <v>735</v>
      </c>
      <c r="C59" s="4" t="s">
        <v>322</v>
      </c>
      <c r="D59" s="624" t="s">
        <v>528</v>
      </c>
      <c r="E59" s="4">
        <v>500</v>
      </c>
      <c r="F59" s="704">
        <v>48.5</v>
      </c>
      <c r="G59" s="4">
        <v>54.6</v>
      </c>
      <c r="H59" s="627">
        <f t="shared" si="0"/>
        <v>6.1000000000000014</v>
      </c>
    </row>
    <row r="60" spans="1:8" x14ac:dyDescent="0.2">
      <c r="A60" s="730" t="s">
        <v>547</v>
      </c>
      <c r="B60" s="4" t="s">
        <v>747</v>
      </c>
      <c r="C60" s="4" t="s">
        <v>322</v>
      </c>
      <c r="D60" s="535" t="s">
        <v>548</v>
      </c>
      <c r="E60" s="4">
        <v>150</v>
      </c>
      <c r="F60" s="704">
        <v>140.6</v>
      </c>
      <c r="G60" s="4">
        <v>144.4</v>
      </c>
      <c r="H60" s="627">
        <f t="shared" si="0"/>
        <v>3.8000000000000114</v>
      </c>
    </row>
    <row r="61" spans="1:8" x14ac:dyDescent="0.2">
      <c r="A61" s="730" t="s">
        <v>533</v>
      </c>
      <c r="B61" s="4" t="s">
        <v>777</v>
      </c>
      <c r="C61" s="4" t="s">
        <v>322</v>
      </c>
      <c r="D61" s="535" t="s">
        <v>528</v>
      </c>
      <c r="E61" s="4">
        <v>125</v>
      </c>
      <c r="F61" s="704">
        <v>563.4</v>
      </c>
      <c r="G61" s="4">
        <v>565.29999999999995</v>
      </c>
      <c r="H61" s="627">
        <f t="shared" si="0"/>
        <v>1.8999999999999773</v>
      </c>
    </row>
    <row r="62" spans="1:8" x14ac:dyDescent="0.2">
      <c r="A62" s="728" t="s">
        <v>762</v>
      </c>
      <c r="B62" s="277" t="s">
        <v>763</v>
      </c>
      <c r="C62" s="4" t="s">
        <v>322</v>
      </c>
      <c r="D62" s="535" t="s">
        <v>396</v>
      </c>
      <c r="E62" s="4">
        <v>350</v>
      </c>
      <c r="F62" s="704">
        <v>347</v>
      </c>
      <c r="G62" s="4">
        <v>355</v>
      </c>
      <c r="H62" s="627">
        <f t="shared" si="0"/>
        <v>8</v>
      </c>
    </row>
    <row r="63" spans="1:8" x14ac:dyDescent="0.2">
      <c r="A63" s="736" t="s">
        <v>723</v>
      </c>
      <c r="B63" s="851" t="s">
        <v>725</v>
      </c>
      <c r="C63" s="4" t="s">
        <v>726</v>
      </c>
      <c r="D63" s="535" t="s">
        <v>399</v>
      </c>
      <c r="E63" s="4">
        <v>63</v>
      </c>
      <c r="F63" s="704">
        <v>284.3</v>
      </c>
      <c r="G63" s="4">
        <v>312.5</v>
      </c>
      <c r="H63" s="627">
        <f t="shared" si="0"/>
        <v>28.199999999999989</v>
      </c>
    </row>
    <row r="64" spans="1:8" x14ac:dyDescent="0.2">
      <c r="A64" s="737" t="s">
        <v>740</v>
      </c>
      <c r="B64" s="629" t="s">
        <v>741</v>
      </c>
      <c r="C64" s="4" t="s">
        <v>726</v>
      </c>
      <c r="D64" s="535" t="s">
        <v>398</v>
      </c>
      <c r="E64" s="4">
        <v>150</v>
      </c>
      <c r="F64" s="704">
        <v>54.5</v>
      </c>
      <c r="G64" s="4">
        <v>57.4</v>
      </c>
      <c r="H64" s="627">
        <f t="shared" si="0"/>
        <v>2.8999999999999986</v>
      </c>
    </row>
    <row r="65" spans="1:8" x14ac:dyDescent="0.2">
      <c r="A65" s="737" t="s">
        <v>397</v>
      </c>
      <c r="B65" s="4" t="s">
        <v>790</v>
      </c>
      <c r="C65" s="4" t="s">
        <v>726</v>
      </c>
      <c r="D65" s="535" t="s">
        <v>396</v>
      </c>
      <c r="E65" s="4">
        <v>250</v>
      </c>
      <c r="F65" s="704">
        <v>190</v>
      </c>
      <c r="G65" s="4">
        <v>193</v>
      </c>
      <c r="H65" s="627">
        <f t="shared" si="0"/>
        <v>3</v>
      </c>
    </row>
    <row r="66" spans="1:8" x14ac:dyDescent="0.2">
      <c r="A66" s="736" t="s">
        <v>403</v>
      </c>
      <c r="B66" s="4" t="s">
        <v>764</v>
      </c>
      <c r="C66" s="4" t="s">
        <v>726</v>
      </c>
      <c r="D66" s="535" t="s">
        <v>401</v>
      </c>
      <c r="E66" s="4">
        <v>10</v>
      </c>
      <c r="F66" s="704">
        <v>214.7</v>
      </c>
      <c r="G66" s="4">
        <v>218.9</v>
      </c>
      <c r="H66" s="627">
        <f t="shared" si="0"/>
        <v>4.2000000000000171</v>
      </c>
    </row>
    <row r="67" spans="1:8" x14ac:dyDescent="0.2">
      <c r="A67" s="736" t="s">
        <v>400</v>
      </c>
      <c r="B67" s="4" t="s">
        <v>782</v>
      </c>
      <c r="C67" s="4" t="s">
        <v>726</v>
      </c>
      <c r="D67" s="535" t="s">
        <v>401</v>
      </c>
      <c r="E67" s="4">
        <v>12.5</v>
      </c>
      <c r="F67" s="704">
        <v>210.4</v>
      </c>
      <c r="G67" s="4">
        <v>213</v>
      </c>
      <c r="H67" s="703">
        <f t="shared" si="0"/>
        <v>2.5999999999999943</v>
      </c>
    </row>
    <row r="68" spans="1:8" x14ac:dyDescent="0.2">
      <c r="A68" s="736" t="s">
        <v>786</v>
      </c>
      <c r="B68" s="277" t="s">
        <v>787</v>
      </c>
      <c r="C68" s="4" t="s">
        <v>726</v>
      </c>
      <c r="D68" s="535" t="s">
        <v>401</v>
      </c>
      <c r="E68" s="4">
        <v>1</v>
      </c>
      <c r="F68" s="704">
        <v>230</v>
      </c>
      <c r="G68" s="4">
        <v>231</v>
      </c>
      <c r="H68" s="703">
        <f t="shared" si="0"/>
        <v>1</v>
      </c>
    </row>
    <row r="69" spans="1:8" x14ac:dyDescent="0.2">
      <c r="A69" s="738" t="s">
        <v>821</v>
      </c>
      <c r="B69" s="4" t="s">
        <v>778</v>
      </c>
      <c r="C69" s="4" t="s">
        <v>726</v>
      </c>
      <c r="D69" s="535" t="s">
        <v>399</v>
      </c>
      <c r="E69" s="4">
        <v>30</v>
      </c>
      <c r="F69" s="704">
        <v>8</v>
      </c>
      <c r="G69" s="4">
        <v>50.2</v>
      </c>
      <c r="H69" s="627">
        <f t="shared" si="0"/>
        <v>42.2</v>
      </c>
    </row>
    <row r="70" spans="1:8" x14ac:dyDescent="0.2">
      <c r="A70" s="736" t="s">
        <v>664</v>
      </c>
      <c r="B70" s="4" t="s">
        <v>765</v>
      </c>
      <c r="C70" s="4" t="s">
        <v>726</v>
      </c>
      <c r="D70" s="535" t="s">
        <v>398</v>
      </c>
      <c r="E70" s="4">
        <v>200</v>
      </c>
      <c r="F70" s="704">
        <v>83.7</v>
      </c>
      <c r="G70" s="4">
        <v>93.1</v>
      </c>
      <c r="H70" s="627">
        <f t="shared" si="0"/>
        <v>9.3999999999999915</v>
      </c>
    </row>
    <row r="71" spans="1:8" x14ac:dyDescent="0.2">
      <c r="A71" s="736" t="s">
        <v>759</v>
      </c>
      <c r="B71" s="4" t="s">
        <v>760</v>
      </c>
      <c r="C71" s="4" t="s">
        <v>726</v>
      </c>
      <c r="D71" s="535" t="s">
        <v>404</v>
      </c>
      <c r="E71" s="4">
        <v>100</v>
      </c>
      <c r="F71" s="704">
        <v>52</v>
      </c>
      <c r="G71" s="4">
        <v>128.30000000000001</v>
      </c>
      <c r="H71" s="627">
        <f t="shared" ref="H71:H75" si="1">G71-F71</f>
        <v>76.300000000000011</v>
      </c>
    </row>
    <row r="72" spans="1:8" x14ac:dyDescent="0.2">
      <c r="A72" s="4" t="s">
        <v>897</v>
      </c>
      <c r="B72" s="4" t="s">
        <v>807</v>
      </c>
      <c r="C72" s="4" t="s">
        <v>297</v>
      </c>
      <c r="D72" s="1043" t="s">
        <v>892</v>
      </c>
      <c r="F72" s="704"/>
      <c r="H72" s="703"/>
    </row>
    <row r="73" spans="1:8" x14ac:dyDescent="0.2">
      <c r="A73" s="738" t="s">
        <v>769</v>
      </c>
      <c r="B73" s="4" t="s">
        <v>770</v>
      </c>
      <c r="C73" s="4" t="s">
        <v>726</v>
      </c>
      <c r="D73" s="535" t="s">
        <v>401</v>
      </c>
      <c r="E73" s="4">
        <v>25</v>
      </c>
      <c r="F73" s="704"/>
      <c r="H73" s="627">
        <f t="shared" si="1"/>
        <v>0</v>
      </c>
    </row>
    <row r="74" spans="1:8" x14ac:dyDescent="0.2">
      <c r="A74" s="738" t="s">
        <v>767</v>
      </c>
      <c r="B74" s="4" t="s">
        <v>768</v>
      </c>
      <c r="C74" s="4" t="s">
        <v>726</v>
      </c>
      <c r="D74" s="535" t="s">
        <v>401</v>
      </c>
      <c r="E74" s="4">
        <v>25</v>
      </c>
      <c r="F74" s="704">
        <v>23</v>
      </c>
      <c r="G74" s="4">
        <v>23.7</v>
      </c>
      <c r="H74" s="627">
        <f t="shared" si="1"/>
        <v>0.69999999999999929</v>
      </c>
    </row>
    <row r="75" spans="1:8" x14ac:dyDescent="0.2">
      <c r="A75" s="738" t="s">
        <v>771</v>
      </c>
      <c r="B75" s="4" t="s">
        <v>772</v>
      </c>
      <c r="C75" s="4" t="s">
        <v>726</v>
      </c>
      <c r="D75" s="535" t="s">
        <v>528</v>
      </c>
      <c r="E75" s="4">
        <v>25</v>
      </c>
      <c r="F75" s="703">
        <v>21.3</v>
      </c>
      <c r="G75" s="704">
        <v>21.7</v>
      </c>
      <c r="H75" s="627">
        <f t="shared" si="1"/>
        <v>0.39999999999999858</v>
      </c>
    </row>
    <row r="76" spans="1:8" s="820" customFormat="1" x14ac:dyDescent="0.2">
      <c r="F76" s="1044"/>
      <c r="G76" s="704"/>
      <c r="H76" s="1045"/>
    </row>
  </sheetData>
  <mergeCells count="2">
    <mergeCell ref="I34:K34"/>
    <mergeCell ref="C1:F3"/>
  </mergeCells>
  <pageMargins left="0.7" right="0.7" top="0.75" bottom="0.75" header="0.3" footer="0.3"/>
  <pageSetup scale="63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E1" sqref="E1"/>
    </sheetView>
  </sheetViews>
  <sheetFormatPr defaultRowHeight="24" customHeight="1" x14ac:dyDescent="0.25"/>
  <cols>
    <col min="1" max="1" width="13.5703125" customWidth="1"/>
    <col min="2" max="2" width="17.28515625" customWidth="1"/>
    <col min="3" max="3" width="13.7109375" customWidth="1"/>
    <col min="4" max="4" width="11.42578125" customWidth="1"/>
    <col min="6" max="6" width="15.7109375" customWidth="1"/>
    <col min="7" max="7" width="11.7109375" customWidth="1"/>
  </cols>
  <sheetData>
    <row r="1" spans="1:15" ht="24" customHeight="1" x14ac:dyDescent="0.25">
      <c r="A1" s="961" t="s">
        <v>989</v>
      </c>
      <c r="B1" s="959"/>
      <c r="C1" s="959"/>
      <c r="D1" s="959"/>
      <c r="E1" s="959"/>
      <c r="F1" s="959"/>
      <c r="G1" s="959"/>
      <c r="H1" s="959"/>
      <c r="I1" s="959"/>
      <c r="J1" s="959"/>
      <c r="K1" s="959"/>
      <c r="L1" s="959"/>
      <c r="M1" s="959"/>
      <c r="N1" s="959"/>
      <c r="O1" s="959"/>
    </row>
    <row r="2" spans="1:15" ht="24" customHeight="1" x14ac:dyDescent="0.25">
      <c r="A2" s="961" t="s">
        <v>717</v>
      </c>
      <c r="B2" s="959"/>
      <c r="C2" s="959">
        <v>23076</v>
      </c>
      <c r="D2" s="959" t="s">
        <v>990</v>
      </c>
      <c r="E2" s="959"/>
      <c r="F2" s="959" t="s">
        <v>991</v>
      </c>
      <c r="G2" s="959"/>
      <c r="H2" s="959">
        <v>4665</v>
      </c>
      <c r="I2" s="959" t="s">
        <v>990</v>
      </c>
      <c r="J2" s="959"/>
      <c r="K2" s="959"/>
      <c r="L2" s="959"/>
      <c r="M2" s="959"/>
      <c r="N2" s="959"/>
      <c r="O2" s="959"/>
    </row>
    <row r="3" spans="1:15" ht="24" customHeight="1" x14ac:dyDescent="0.25">
      <c r="A3" s="964"/>
      <c r="B3" s="964"/>
      <c r="C3" s="964"/>
      <c r="D3" s="964"/>
      <c r="E3" s="964"/>
      <c r="F3" s="964"/>
      <c r="G3" s="964"/>
      <c r="H3" s="959"/>
      <c r="I3" s="964"/>
      <c r="J3" s="960"/>
      <c r="K3" s="959"/>
      <c r="L3" s="959"/>
      <c r="M3" s="959"/>
      <c r="N3" s="959"/>
      <c r="O3" s="959"/>
    </row>
    <row r="4" spans="1:15" ht="24" customHeight="1" x14ac:dyDescent="0.25">
      <c r="A4" s="962"/>
      <c r="B4" s="962"/>
      <c r="C4" s="963"/>
      <c r="D4" s="963"/>
      <c r="E4" s="964"/>
      <c r="F4" s="964"/>
      <c r="G4" s="965"/>
      <c r="H4" s="959"/>
      <c r="I4" s="959"/>
      <c r="J4" s="960"/>
      <c r="K4" s="959"/>
      <c r="L4" s="959"/>
      <c r="M4" s="959"/>
      <c r="N4" s="959"/>
      <c r="O4" s="960"/>
    </row>
    <row r="5" spans="1:15" ht="24" customHeight="1" x14ac:dyDescent="0.25">
      <c r="A5" s="962"/>
      <c r="B5" s="962"/>
      <c r="C5" s="965"/>
      <c r="D5" s="963"/>
      <c r="E5" s="964"/>
      <c r="F5" s="964"/>
      <c r="G5" s="965"/>
      <c r="H5" s="959"/>
      <c r="I5" s="959"/>
      <c r="J5" s="960"/>
      <c r="K5" s="959"/>
      <c r="L5" s="959"/>
      <c r="M5" s="959"/>
      <c r="N5" s="959"/>
      <c r="O5" s="959"/>
    </row>
    <row r="6" spans="1:15" ht="24" customHeight="1" x14ac:dyDescent="0.25">
      <c r="A6" s="962"/>
      <c r="B6" s="962"/>
      <c r="C6" s="963"/>
      <c r="D6" s="963"/>
      <c r="E6" s="964"/>
      <c r="F6" s="964"/>
      <c r="G6" s="965"/>
      <c r="H6" s="959"/>
      <c r="I6" s="959"/>
      <c r="J6" s="959"/>
      <c r="K6" s="959"/>
      <c r="L6" s="959"/>
      <c r="M6" s="959"/>
      <c r="N6" s="959"/>
      <c r="O6" s="959"/>
    </row>
    <row r="7" spans="1:15" ht="24" customHeight="1" x14ac:dyDescent="0.25">
      <c r="A7" s="962"/>
      <c r="B7" s="962"/>
      <c r="C7" s="965"/>
      <c r="D7" s="963"/>
      <c r="E7" s="964"/>
      <c r="F7" s="964"/>
      <c r="G7" s="965"/>
      <c r="H7" s="959"/>
      <c r="I7" s="959"/>
      <c r="J7" s="960"/>
      <c r="K7" s="959"/>
      <c r="L7" s="959"/>
      <c r="M7" s="959"/>
      <c r="N7" s="959"/>
      <c r="O7" s="959"/>
    </row>
    <row r="8" spans="1:15" ht="24" customHeight="1" x14ac:dyDescent="0.25">
      <c r="A8" s="962"/>
      <c r="B8" s="962"/>
      <c r="C8" s="963"/>
      <c r="D8" s="963"/>
      <c r="E8" s="964"/>
      <c r="F8" s="964"/>
      <c r="G8" s="963"/>
      <c r="H8" s="959"/>
      <c r="I8" s="959"/>
      <c r="J8" s="960"/>
      <c r="K8" s="959"/>
      <c r="L8" s="959"/>
      <c r="M8" s="959"/>
      <c r="N8" s="959"/>
      <c r="O8" s="959"/>
    </row>
    <row r="9" spans="1:15" ht="24" customHeight="1" x14ac:dyDescent="0.25">
      <c r="A9" s="962"/>
      <c r="B9" s="962"/>
      <c r="C9" s="965"/>
      <c r="D9" s="963"/>
      <c r="E9" s="964"/>
      <c r="F9" s="964"/>
      <c r="G9" s="963"/>
      <c r="H9" s="959"/>
      <c r="I9" s="959"/>
      <c r="J9" s="960"/>
      <c r="K9" s="959"/>
      <c r="L9" s="959"/>
      <c r="M9" s="959"/>
      <c r="N9" s="959"/>
      <c r="O9" s="959"/>
    </row>
    <row r="10" spans="1:15" ht="24" customHeight="1" x14ac:dyDescent="0.25">
      <c r="A10" s="962"/>
      <c r="B10" s="962"/>
      <c r="C10" s="963"/>
      <c r="D10" s="963"/>
      <c r="E10" s="964"/>
      <c r="F10" s="964"/>
      <c r="G10" s="963"/>
      <c r="H10" s="959"/>
      <c r="I10" s="959"/>
      <c r="J10" s="960"/>
      <c r="K10" s="959"/>
      <c r="L10" s="959"/>
      <c r="M10" s="959"/>
      <c r="N10" s="959"/>
      <c r="O10" s="959"/>
    </row>
    <row r="11" spans="1:15" ht="24" customHeight="1" x14ac:dyDescent="0.25">
      <c r="A11" s="962"/>
      <c r="B11" s="962"/>
      <c r="C11" s="963"/>
      <c r="D11" s="963"/>
      <c r="E11" s="964"/>
      <c r="F11" s="964"/>
      <c r="G11" s="963"/>
      <c r="H11" s="959"/>
      <c r="I11" s="959"/>
      <c r="J11" s="959"/>
      <c r="K11" s="959"/>
      <c r="L11" s="959"/>
      <c r="M11" s="959"/>
      <c r="N11" s="959"/>
      <c r="O11" s="959"/>
    </row>
    <row r="12" spans="1:15" ht="24" customHeight="1" x14ac:dyDescent="0.25">
      <c r="A12" s="962"/>
      <c r="B12" s="962"/>
      <c r="C12" s="963"/>
      <c r="D12" s="963"/>
      <c r="E12" s="964"/>
      <c r="F12" s="964"/>
      <c r="G12" s="963"/>
      <c r="H12" s="959"/>
      <c r="I12" s="959"/>
      <c r="J12" s="960"/>
      <c r="K12" s="959"/>
      <c r="L12" s="959"/>
      <c r="M12" s="959"/>
      <c r="N12" s="959"/>
      <c r="O12" s="959"/>
    </row>
    <row r="13" spans="1:15" ht="24" customHeight="1" x14ac:dyDescent="0.25">
      <c r="A13" s="962"/>
      <c r="B13" s="962"/>
      <c r="C13" s="963"/>
      <c r="D13" s="963"/>
      <c r="E13" s="964"/>
      <c r="F13" s="964"/>
      <c r="G13" s="963"/>
      <c r="H13" s="959"/>
      <c r="I13" s="959"/>
      <c r="J13" s="959"/>
      <c r="K13" s="959"/>
      <c r="L13" s="959"/>
      <c r="M13" s="959"/>
      <c r="N13" s="959"/>
      <c r="O13" s="959"/>
    </row>
    <row r="14" spans="1:15" ht="24" customHeight="1" x14ac:dyDescent="0.25">
      <c r="A14" s="962"/>
      <c r="B14" s="962"/>
      <c r="C14" s="963"/>
      <c r="D14" s="963"/>
      <c r="E14" s="964"/>
      <c r="F14" s="964"/>
      <c r="G14" s="963"/>
      <c r="H14" s="959"/>
      <c r="I14" s="959"/>
      <c r="J14" s="959"/>
      <c r="K14" s="959"/>
      <c r="L14" s="959"/>
      <c r="M14" s="959"/>
      <c r="N14" s="959"/>
      <c r="O14" s="959"/>
    </row>
    <row r="15" spans="1:15" ht="24" customHeight="1" x14ac:dyDescent="0.25">
      <c r="A15" s="962"/>
      <c r="B15" s="962"/>
      <c r="C15" s="963"/>
      <c r="D15" s="963"/>
      <c r="E15" s="964"/>
      <c r="F15" s="964"/>
      <c r="G15" s="963"/>
      <c r="H15" s="959"/>
      <c r="I15" s="959"/>
      <c r="J15" s="959"/>
      <c r="K15" s="959"/>
      <c r="L15" s="959"/>
      <c r="M15" s="959"/>
      <c r="N15" s="959"/>
      <c r="O15" s="959"/>
    </row>
    <row r="16" spans="1:15" ht="24" customHeight="1" x14ac:dyDescent="0.25">
      <c r="A16" s="962"/>
      <c r="B16" s="962"/>
      <c r="C16" s="963"/>
      <c r="D16" s="963"/>
      <c r="E16" s="964"/>
      <c r="F16" s="964"/>
      <c r="G16" s="963"/>
      <c r="H16" s="959"/>
      <c r="I16" s="959"/>
      <c r="J16" s="959"/>
      <c r="K16" s="959"/>
      <c r="L16" s="959"/>
      <c r="M16" s="959"/>
      <c r="N16" s="959"/>
      <c r="O16" s="959"/>
    </row>
    <row r="17" spans="1:9" ht="24" customHeight="1" x14ac:dyDescent="0.25">
      <c r="A17" s="962"/>
      <c r="B17" s="962"/>
      <c r="C17" s="963"/>
      <c r="D17" s="963"/>
      <c r="E17" s="964"/>
      <c r="F17" s="964"/>
      <c r="G17" s="963"/>
      <c r="I17" s="656"/>
    </row>
    <row r="18" spans="1:9" ht="24" customHeight="1" x14ac:dyDescent="0.25">
      <c r="A18" s="962"/>
      <c r="B18" s="962"/>
      <c r="C18" s="963"/>
      <c r="D18" s="963"/>
      <c r="E18" s="964"/>
      <c r="F18" s="964"/>
      <c r="G18" s="963"/>
      <c r="I18" s="656"/>
    </row>
    <row r="19" spans="1:9" ht="24" customHeight="1" x14ac:dyDescent="0.25">
      <c r="A19" s="962"/>
      <c r="B19" s="962"/>
      <c r="C19" s="963"/>
      <c r="D19" s="963"/>
      <c r="E19" s="964"/>
      <c r="F19" s="964"/>
      <c r="G19" s="963"/>
      <c r="I19" s="656"/>
    </row>
    <row r="20" spans="1:9" ht="24" customHeight="1" x14ac:dyDescent="0.25">
      <c r="A20" s="962"/>
      <c r="B20" s="962"/>
      <c r="C20" s="963"/>
      <c r="D20" s="963"/>
      <c r="E20" s="964"/>
      <c r="F20" s="964"/>
      <c r="G20" s="963"/>
      <c r="I20" s="656"/>
    </row>
    <row r="21" spans="1:9" ht="24" customHeight="1" x14ac:dyDescent="0.25">
      <c r="A21" s="962"/>
      <c r="B21" s="962"/>
      <c r="C21" s="963"/>
      <c r="D21" s="963"/>
      <c r="E21" s="964"/>
      <c r="F21" s="964"/>
      <c r="G21" s="963"/>
      <c r="I21" s="656"/>
    </row>
    <row r="22" spans="1:9" ht="24" customHeight="1" x14ac:dyDescent="0.25">
      <c r="A22" s="962"/>
      <c r="B22" s="962"/>
      <c r="C22" s="963"/>
      <c r="D22" s="963"/>
      <c r="E22" s="964"/>
      <c r="F22" s="964"/>
      <c r="G22" s="963"/>
      <c r="I22" s="656"/>
    </row>
    <row r="23" spans="1:9" ht="24" customHeight="1" x14ac:dyDescent="0.25">
      <c r="A23" s="962"/>
      <c r="B23" s="962"/>
      <c r="C23" s="963"/>
      <c r="D23" s="963"/>
      <c r="E23" s="964"/>
      <c r="F23" s="964"/>
      <c r="G23" s="963"/>
      <c r="I23" s="657"/>
    </row>
    <row r="24" spans="1:9" ht="24" customHeight="1" x14ac:dyDescent="0.25">
      <c r="A24" s="962"/>
      <c r="B24" s="962"/>
      <c r="C24" s="963"/>
      <c r="D24" s="963"/>
      <c r="E24" s="964"/>
      <c r="F24" s="964"/>
      <c r="G24" s="963"/>
      <c r="I24" s="656"/>
    </row>
    <row r="25" spans="1:9" ht="24" customHeight="1" x14ac:dyDescent="0.25">
      <c r="A25" s="962"/>
      <c r="B25" s="962"/>
      <c r="C25" s="965"/>
      <c r="D25" s="963"/>
      <c r="E25" s="964"/>
      <c r="F25" s="964"/>
      <c r="G25" s="963"/>
      <c r="I25" s="657"/>
    </row>
    <row r="26" spans="1:9" ht="24" customHeight="1" x14ac:dyDescent="0.25">
      <c r="A26" s="962"/>
      <c r="B26" s="962"/>
      <c r="C26" s="963"/>
      <c r="D26" s="963"/>
      <c r="E26" s="964"/>
      <c r="F26" s="964"/>
      <c r="G26" s="965"/>
      <c r="I26" s="656"/>
    </row>
    <row r="27" spans="1:9" ht="24" customHeight="1" x14ac:dyDescent="0.25">
      <c r="A27" s="962"/>
      <c r="B27" s="962"/>
      <c r="C27" s="965"/>
      <c r="D27" s="963"/>
      <c r="E27" s="964"/>
      <c r="F27" s="964"/>
      <c r="G27" s="963"/>
      <c r="I27" s="657"/>
    </row>
    <row r="28" spans="1:9" ht="24" customHeight="1" x14ac:dyDescent="0.25">
      <c r="A28" s="962"/>
      <c r="B28" s="962"/>
      <c r="C28" s="963"/>
      <c r="D28" s="963"/>
      <c r="E28" s="964"/>
      <c r="F28" s="964"/>
      <c r="G28" s="965"/>
    </row>
    <row r="29" spans="1:9" ht="24" customHeight="1" x14ac:dyDescent="0.25">
      <c r="A29" s="962"/>
      <c r="B29" s="962"/>
      <c r="C29" s="965"/>
      <c r="D29" s="963"/>
      <c r="E29" s="964"/>
      <c r="F29" s="964"/>
      <c r="G29" s="965"/>
    </row>
    <row r="30" spans="1:9" ht="24" customHeight="1" x14ac:dyDescent="0.25">
      <c r="A30" s="961"/>
      <c r="B30" s="959"/>
      <c r="C30" s="959"/>
      <c r="D30" s="959"/>
      <c r="E30" s="959"/>
      <c r="F30" s="959"/>
      <c r="G30" s="959"/>
    </row>
    <row r="31" spans="1:9" ht="24" customHeight="1" x14ac:dyDescent="0.25">
      <c r="A31" s="961"/>
      <c r="B31" s="959"/>
      <c r="C31" s="959"/>
      <c r="D31" s="959"/>
      <c r="E31" s="959"/>
      <c r="F31" s="959"/>
      <c r="G31" s="959"/>
    </row>
    <row r="32" spans="1:9" ht="24" customHeight="1" x14ac:dyDescent="0.25">
      <c r="A32" s="968"/>
      <c r="B32" s="968"/>
      <c r="C32" s="968"/>
      <c r="D32" s="968"/>
      <c r="E32" s="968"/>
      <c r="F32" s="968"/>
      <c r="G32" s="968"/>
    </row>
    <row r="33" spans="1:7" ht="24" customHeight="1" x14ac:dyDescent="0.25">
      <c r="A33" s="966"/>
      <c r="B33" s="966"/>
      <c r="C33" s="967"/>
      <c r="D33" s="967"/>
      <c r="E33" s="968"/>
      <c r="F33" s="968"/>
      <c r="G33" s="969"/>
    </row>
    <row r="34" spans="1:7" ht="24" customHeight="1" x14ac:dyDescent="0.25">
      <c r="A34" s="966"/>
      <c r="B34" s="966"/>
      <c r="C34" s="967"/>
      <c r="D34" s="967"/>
      <c r="E34" s="968"/>
      <c r="F34" s="968"/>
      <c r="G34" s="969"/>
    </row>
    <row r="35" spans="1:7" ht="24" customHeight="1" x14ac:dyDescent="0.25">
      <c r="A35" s="966"/>
      <c r="B35" s="966"/>
      <c r="C35" s="967"/>
      <c r="D35" s="967"/>
      <c r="E35" s="968"/>
      <c r="F35" s="968"/>
      <c r="G35" s="967"/>
    </row>
    <row r="36" spans="1:7" ht="24" customHeight="1" x14ac:dyDescent="0.25">
      <c r="A36" s="966"/>
      <c r="B36" s="966"/>
      <c r="C36" s="967"/>
      <c r="D36" s="967"/>
      <c r="E36" s="968"/>
      <c r="F36" s="968"/>
      <c r="G36" s="967"/>
    </row>
    <row r="37" spans="1:7" ht="24" customHeight="1" x14ac:dyDescent="0.25">
      <c r="A37" s="966"/>
      <c r="B37" s="966"/>
      <c r="C37" s="967"/>
      <c r="D37" s="967"/>
      <c r="E37" s="968"/>
      <c r="F37" s="968"/>
      <c r="G37" s="967"/>
    </row>
    <row r="38" spans="1:7" ht="24" customHeight="1" x14ac:dyDescent="0.25">
      <c r="A38" s="966"/>
      <c r="B38" s="966"/>
      <c r="C38" s="967"/>
      <c r="D38" s="967"/>
      <c r="E38" s="968"/>
      <c r="F38" s="968"/>
      <c r="G38" s="967"/>
    </row>
    <row r="39" spans="1:7" ht="24" customHeight="1" x14ac:dyDescent="0.25">
      <c r="A39" s="966"/>
      <c r="B39" s="966"/>
      <c r="C39" s="967"/>
      <c r="D39" s="967"/>
      <c r="E39" s="968"/>
      <c r="F39" s="968"/>
      <c r="G39" s="967"/>
    </row>
    <row r="40" spans="1:7" ht="24" customHeight="1" x14ac:dyDescent="0.25">
      <c r="A40" s="966"/>
      <c r="B40" s="966"/>
      <c r="C40" s="967"/>
      <c r="D40" s="967"/>
      <c r="E40" s="968"/>
      <c r="F40" s="968"/>
      <c r="G40" s="967"/>
    </row>
    <row r="41" spans="1:7" ht="24" customHeight="1" x14ac:dyDescent="0.25">
      <c r="A41" s="966"/>
      <c r="B41" s="966"/>
      <c r="C41" s="967"/>
      <c r="D41" s="967"/>
      <c r="E41" s="968"/>
      <c r="F41" s="968"/>
      <c r="G41" s="967"/>
    </row>
    <row r="42" spans="1:7" ht="24" customHeight="1" x14ac:dyDescent="0.25">
      <c r="A42" s="966"/>
      <c r="B42" s="966"/>
      <c r="C42" s="967"/>
      <c r="D42" s="967"/>
      <c r="E42" s="968"/>
      <c r="F42" s="968"/>
      <c r="G42" s="967"/>
    </row>
    <row r="43" spans="1:7" ht="24" customHeight="1" x14ac:dyDescent="0.25">
      <c r="A43" s="966"/>
      <c r="B43" s="966"/>
      <c r="C43" s="967"/>
      <c r="D43" s="967"/>
      <c r="E43" s="968"/>
      <c r="F43" s="968"/>
      <c r="G43" s="967"/>
    </row>
    <row r="44" spans="1:7" ht="24" customHeight="1" x14ac:dyDescent="0.25">
      <c r="A44" s="966"/>
      <c r="B44" s="966"/>
      <c r="C44" s="967"/>
      <c r="D44" s="967"/>
      <c r="E44" s="968"/>
      <c r="F44" s="968"/>
      <c r="G44" s="967"/>
    </row>
    <row r="45" spans="1:7" ht="24" customHeight="1" x14ac:dyDescent="0.25">
      <c r="A45" s="966"/>
      <c r="B45" s="966"/>
      <c r="C45" s="967"/>
      <c r="D45" s="967"/>
      <c r="E45" s="968"/>
      <c r="F45" s="968"/>
      <c r="G45" s="969"/>
    </row>
    <row r="46" spans="1:7" ht="24" customHeight="1" x14ac:dyDescent="0.25">
      <c r="A46" s="959"/>
      <c r="B46" s="959"/>
      <c r="C46" s="959"/>
      <c r="D46" s="959"/>
      <c r="E46" s="959"/>
      <c r="F46" s="959"/>
      <c r="G46" s="959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zoomScale="70" zoomScaleNormal="70" workbookViewId="0">
      <selection activeCell="E17" sqref="E17"/>
    </sheetView>
  </sheetViews>
  <sheetFormatPr defaultRowHeight="15.75" x14ac:dyDescent="0.25"/>
  <cols>
    <col min="1" max="1" width="30.85546875" style="333" customWidth="1"/>
    <col min="2" max="2" width="19.140625" style="333" customWidth="1"/>
    <col min="3" max="3" width="16.85546875" style="348" customWidth="1"/>
    <col min="4" max="4" width="11.5703125" style="348" customWidth="1"/>
    <col min="5" max="5" width="15.140625" style="348" customWidth="1"/>
    <col min="6" max="6" width="10.140625" style="348" customWidth="1"/>
    <col min="7" max="7" width="9.42578125" style="333" customWidth="1"/>
    <col min="8" max="8" width="11.85546875" style="333" customWidth="1"/>
    <col min="9" max="10" width="13.7109375" style="333" customWidth="1"/>
    <col min="11" max="12" width="12" style="333" customWidth="1"/>
    <col min="13" max="13" width="10.85546875" style="333" customWidth="1"/>
    <col min="14" max="14" width="13.42578125" style="333" customWidth="1"/>
    <col min="15" max="15" width="11.7109375" style="333" customWidth="1"/>
    <col min="16" max="16" width="10.7109375" style="333" customWidth="1"/>
    <col min="17" max="17" width="10.85546875" style="333" customWidth="1"/>
    <col min="18" max="18" width="13.42578125" style="333" customWidth="1"/>
    <col min="19" max="16384" width="9.140625" style="333"/>
  </cols>
  <sheetData>
    <row r="1" spans="1:18" ht="19.5" customHeight="1" x14ac:dyDescent="0.3">
      <c r="A1" s="1140" t="s">
        <v>443</v>
      </c>
      <c r="B1" s="1140"/>
      <c r="C1" s="1140"/>
      <c r="D1" s="1140"/>
      <c r="E1" s="1140"/>
      <c r="F1" s="1140"/>
      <c r="G1" s="1140"/>
      <c r="H1" s="1140"/>
      <c r="I1" s="1140"/>
      <c r="J1" s="1140"/>
      <c r="K1" s="1140"/>
      <c r="L1" s="1140"/>
      <c r="M1" s="1140"/>
      <c r="N1" s="1140"/>
      <c r="O1" s="1140"/>
      <c r="P1" s="1140"/>
      <c r="Q1" s="1140"/>
      <c r="R1" s="1140"/>
    </row>
    <row r="2" spans="1:18" ht="19.5" customHeight="1" x14ac:dyDescent="0.3">
      <c r="A2" s="1140" t="s">
        <v>1002</v>
      </c>
      <c r="B2" s="1140"/>
      <c r="C2" s="1140"/>
      <c r="D2" s="1140"/>
      <c r="E2" s="1140"/>
      <c r="F2" s="1140"/>
      <c r="G2" s="1140"/>
      <c r="H2" s="1140"/>
      <c r="I2" s="1140"/>
      <c r="J2" s="1140"/>
      <c r="K2" s="1140"/>
      <c r="L2" s="1140"/>
      <c r="M2" s="1140"/>
      <c r="N2" s="1140"/>
      <c r="O2" s="1140"/>
      <c r="P2" s="1140"/>
      <c r="Q2" s="1140"/>
      <c r="R2" s="1140"/>
    </row>
    <row r="3" spans="1:18" ht="19.5" customHeight="1" x14ac:dyDescent="0.3">
      <c r="A3" s="1140" t="s">
        <v>444</v>
      </c>
      <c r="B3" s="1140"/>
      <c r="C3" s="1140"/>
      <c r="D3" s="1140"/>
      <c r="E3" s="1140"/>
      <c r="F3" s="1140"/>
      <c r="G3" s="1140"/>
      <c r="H3" s="1140"/>
      <c r="I3" s="1140"/>
      <c r="J3" s="1140"/>
      <c r="K3" s="1140"/>
      <c r="L3" s="1140"/>
      <c r="M3" s="1140"/>
      <c r="N3" s="1140"/>
      <c r="O3" s="1140"/>
      <c r="P3" s="1140"/>
      <c r="Q3" s="1140"/>
      <c r="R3" s="1140"/>
    </row>
    <row r="4" spans="1:18" ht="15" customHeight="1" x14ac:dyDescent="0.25">
      <c r="C4" s="333"/>
      <c r="D4" s="333"/>
      <c r="E4" s="333"/>
      <c r="F4" s="333"/>
    </row>
    <row r="5" spans="1:18" ht="15" customHeight="1" x14ac:dyDescent="0.25">
      <c r="A5" s="316"/>
      <c r="B5" s="316"/>
      <c r="C5" s="316"/>
      <c r="D5" s="316"/>
      <c r="E5" s="316"/>
      <c r="F5" s="316"/>
      <c r="G5" s="316"/>
      <c r="H5" s="316"/>
    </row>
    <row r="6" spans="1:18" ht="16.5" thickBot="1" x14ac:dyDescent="0.3">
      <c r="B6" s="348"/>
      <c r="E6" s="333"/>
      <c r="F6" s="333"/>
    </row>
    <row r="7" spans="1:18" ht="17.25" thickTop="1" thickBot="1" x14ac:dyDescent="0.3">
      <c r="B7" s="348"/>
      <c r="E7" s="333"/>
      <c r="F7" s="333"/>
      <c r="G7" s="1141" t="s">
        <v>268</v>
      </c>
      <c r="H7" s="1142"/>
      <c r="I7" s="1142"/>
      <c r="J7" s="1143"/>
      <c r="K7" s="1141" t="s">
        <v>269</v>
      </c>
      <c r="L7" s="1142"/>
      <c r="M7" s="1142"/>
      <c r="N7" s="1143"/>
      <c r="O7" s="1144" t="s">
        <v>270</v>
      </c>
      <c r="P7" s="1142"/>
      <c r="Q7" s="1142"/>
      <c r="R7" s="1143"/>
    </row>
    <row r="8" spans="1:18" ht="48.75" customHeight="1" thickTop="1" thickBot="1" x14ac:dyDescent="0.3">
      <c r="A8" s="367" t="s">
        <v>271</v>
      </c>
      <c r="B8" s="368" t="s">
        <v>272</v>
      </c>
      <c r="C8" s="1147" t="s">
        <v>1011</v>
      </c>
      <c r="D8" s="1147"/>
      <c r="E8" s="1147" t="s">
        <v>1001</v>
      </c>
      <c r="F8" s="1147"/>
      <c r="G8" s="1137" t="s">
        <v>273</v>
      </c>
      <c r="H8" s="1138"/>
      <c r="I8" s="310" t="s">
        <v>274</v>
      </c>
      <c r="J8" s="311" t="s">
        <v>275</v>
      </c>
      <c r="K8" s="1137" t="s">
        <v>276</v>
      </c>
      <c r="L8" s="1138"/>
      <c r="M8" s="312" t="s">
        <v>277</v>
      </c>
      <c r="N8" s="311" t="s">
        <v>278</v>
      </c>
      <c r="O8" s="1137" t="s">
        <v>279</v>
      </c>
      <c r="P8" s="1138"/>
      <c r="Q8" s="312" t="s">
        <v>280</v>
      </c>
      <c r="R8" s="313" t="s">
        <v>281</v>
      </c>
    </row>
    <row r="9" spans="1:18" ht="15" customHeight="1" x14ac:dyDescent="0.25">
      <c r="A9" s="509" t="s">
        <v>282</v>
      </c>
      <c r="B9" s="314" t="s">
        <v>283</v>
      </c>
      <c r="C9" s="280">
        <f>'CHP Fuel Use, CEMS Data'!B19</f>
        <v>275599.40000000002</v>
      </c>
      <c r="D9" s="331" t="s">
        <v>284</v>
      </c>
      <c r="E9" s="332">
        <f>C9*'CHP Fuel Use, CEMS Data'!$K$49/1000</f>
        <v>283867.38199999998</v>
      </c>
      <c r="F9" s="331" t="s">
        <v>191</v>
      </c>
      <c r="G9" s="315">
        <v>53.06</v>
      </c>
      <c r="H9" s="316" t="s">
        <v>285</v>
      </c>
      <c r="I9" s="317">
        <f>E9*G9</f>
        <v>15062003.28892</v>
      </c>
      <c r="J9" s="318">
        <f>I9/1000</f>
        <v>15062.003288920001</v>
      </c>
      <c r="K9" s="319">
        <v>1E-3</v>
      </c>
      <c r="L9" s="320" t="s">
        <v>285</v>
      </c>
      <c r="M9" s="321">
        <f t="shared" ref="M9:M22" si="0">K9*E9</f>
        <v>283.86738199999996</v>
      </c>
      <c r="N9" s="322">
        <f>M9*0.001</f>
        <v>0.28386738199999995</v>
      </c>
      <c r="O9" s="315">
        <v>1E-4</v>
      </c>
      <c r="P9" s="316" t="s">
        <v>285</v>
      </c>
      <c r="Q9" s="323">
        <f t="shared" ref="Q9:Q22" si="1">E9*O9</f>
        <v>28.3867382</v>
      </c>
      <c r="R9" s="324">
        <f>Q9*0.001</f>
        <v>2.8386738200000001E-2</v>
      </c>
    </row>
    <row r="10" spans="1:18" ht="15" customHeight="1" x14ac:dyDescent="0.25">
      <c r="A10" s="509" t="s">
        <v>282</v>
      </c>
      <c r="B10" s="314" t="s">
        <v>286</v>
      </c>
      <c r="C10" s="498">
        <f>'CHP Fuel Use, CEMS Data'!D19</f>
        <v>106272</v>
      </c>
      <c r="D10" s="331" t="s">
        <v>287</v>
      </c>
      <c r="E10" s="332">
        <f>C10*'CHP Fuel Use, CEMS Data'!$K$48/1000000</f>
        <v>14533.864992000001</v>
      </c>
      <c r="F10" s="331" t="s">
        <v>191</v>
      </c>
      <c r="G10" s="325">
        <v>73.959999999999994</v>
      </c>
      <c r="H10" s="316" t="s">
        <v>285</v>
      </c>
      <c r="I10" s="326">
        <f>E10*G10</f>
        <v>1074924.6548083199</v>
      </c>
      <c r="J10" s="318">
        <f>I10/1000</f>
        <v>1074.9246548083199</v>
      </c>
      <c r="K10" s="327">
        <v>3.0000000000000001E-3</v>
      </c>
      <c r="L10" s="328" t="s">
        <v>285</v>
      </c>
      <c r="M10" s="321">
        <f t="shared" si="0"/>
        <v>43.601594976000001</v>
      </c>
      <c r="N10" s="322">
        <f>M10*0.001</f>
        <v>4.3601594976000004E-2</v>
      </c>
      <c r="O10" s="315">
        <v>5.9999999999999995E-4</v>
      </c>
      <c r="P10" s="316" t="s">
        <v>285</v>
      </c>
      <c r="Q10" s="329">
        <f t="shared" si="1"/>
        <v>8.7203189951999995</v>
      </c>
      <c r="R10" s="324">
        <f t="shared" ref="R10:R22" si="2">Q10*0.001</f>
        <v>8.7203189952E-3</v>
      </c>
    </row>
    <row r="11" spans="1:18" ht="15" customHeight="1" x14ac:dyDescent="0.25">
      <c r="A11" s="509" t="s">
        <v>288</v>
      </c>
      <c r="B11" s="314" t="s">
        <v>283</v>
      </c>
      <c r="C11" s="280">
        <f>'CHP Fuel Use, CEMS Data'!I19</f>
        <v>165837.20000000001</v>
      </c>
      <c r="D11" s="331" t="s">
        <v>284</v>
      </c>
      <c r="E11" s="332">
        <f>C11*'CHP Fuel Use, CEMS Data'!$K$49/1000</f>
        <v>170812.31599999999</v>
      </c>
      <c r="F11" s="331" t="s">
        <v>191</v>
      </c>
      <c r="G11" s="315">
        <v>53.06</v>
      </c>
      <c r="H11" s="316" t="s">
        <v>285</v>
      </c>
      <c r="I11" s="326">
        <f>E11*G11</f>
        <v>9063301.4869599994</v>
      </c>
      <c r="J11" s="318">
        <f t="shared" ref="J11:J22" si="3">I11/1000</f>
        <v>9063.3014869599992</v>
      </c>
      <c r="K11" s="330">
        <v>1E-3</v>
      </c>
      <c r="L11" s="328" t="s">
        <v>285</v>
      </c>
      <c r="M11" s="321">
        <f t="shared" si="0"/>
        <v>170.81231599999998</v>
      </c>
      <c r="N11" s="322">
        <f t="shared" ref="N11:N22" si="4">M11*0.001</f>
        <v>0.17081231599999999</v>
      </c>
      <c r="O11" s="315">
        <v>1E-4</v>
      </c>
      <c r="P11" s="316" t="s">
        <v>285</v>
      </c>
      <c r="Q11" s="329">
        <f t="shared" si="1"/>
        <v>17.081231599999999</v>
      </c>
      <c r="R11" s="322">
        <f t="shared" si="2"/>
        <v>1.70812316E-2</v>
      </c>
    </row>
    <row r="12" spans="1:18" ht="15" customHeight="1" x14ac:dyDescent="0.25">
      <c r="A12" s="509" t="s">
        <v>288</v>
      </c>
      <c r="B12" s="314" t="s">
        <v>286</v>
      </c>
      <c r="C12" s="280">
        <f>'CHP Fuel Use, CEMS Data'!K19</f>
        <v>128949</v>
      </c>
      <c r="D12" s="331" t="s">
        <v>287</v>
      </c>
      <c r="E12" s="332">
        <f>C12*'CHP Fuel Use, CEMS Data'!$K$48/1000000</f>
        <v>17635.194189000002</v>
      </c>
      <c r="F12" s="331" t="s">
        <v>191</v>
      </c>
      <c r="G12" s="325">
        <v>73.959999999999994</v>
      </c>
      <c r="H12" s="316" t="s">
        <v>285</v>
      </c>
      <c r="I12" s="326">
        <f>E12*G12</f>
        <v>1304298.9622184399</v>
      </c>
      <c r="J12" s="318">
        <f t="shared" si="3"/>
        <v>1304.29896221844</v>
      </c>
      <c r="K12" s="327">
        <v>3.0000000000000001E-3</v>
      </c>
      <c r="L12" s="328" t="s">
        <v>285</v>
      </c>
      <c r="M12" s="321">
        <f t="shared" si="0"/>
        <v>52.905582567000003</v>
      </c>
      <c r="N12" s="322">
        <f t="shared" si="4"/>
        <v>5.2905582567000002E-2</v>
      </c>
      <c r="O12" s="315">
        <v>5.9999999999999995E-4</v>
      </c>
      <c r="P12" s="316" t="s">
        <v>285</v>
      </c>
      <c r="Q12" s="329">
        <f t="shared" si="1"/>
        <v>10.5811165134</v>
      </c>
      <c r="R12" s="324">
        <f t="shared" si="2"/>
        <v>1.0581116513399999E-2</v>
      </c>
    </row>
    <row r="13" spans="1:18" ht="15" customHeight="1" x14ac:dyDescent="0.25">
      <c r="A13" s="509" t="s">
        <v>289</v>
      </c>
      <c r="B13" s="314" t="s">
        <v>283</v>
      </c>
      <c r="C13" s="280">
        <f>'CHP Fuel Use, CEMS Data'!P19</f>
        <v>159060.20000000001</v>
      </c>
      <c r="D13" s="331" t="s">
        <v>284</v>
      </c>
      <c r="E13" s="332">
        <f>C13*'CHP Fuel Use, CEMS Data'!$K$49/1000</f>
        <v>163832.00599999999</v>
      </c>
      <c r="F13" s="331" t="s">
        <v>191</v>
      </c>
      <c r="G13" s="315">
        <v>53.06</v>
      </c>
      <c r="H13" s="316" t="s">
        <v>285</v>
      </c>
      <c r="I13" s="326">
        <f>E13*G13</f>
        <v>8692926.2383600008</v>
      </c>
      <c r="J13" s="318">
        <f t="shared" si="3"/>
        <v>8692.9262383600017</v>
      </c>
      <c r="K13" s="330">
        <v>1E-3</v>
      </c>
      <c r="L13" s="328" t="s">
        <v>285</v>
      </c>
      <c r="M13" s="321">
        <f t="shared" si="0"/>
        <v>163.83200600000001</v>
      </c>
      <c r="N13" s="322">
        <f>M13*0.001</f>
        <v>0.163832006</v>
      </c>
      <c r="O13" s="315">
        <v>1E-4</v>
      </c>
      <c r="P13" s="316" t="s">
        <v>285</v>
      </c>
      <c r="Q13" s="329">
        <f t="shared" si="1"/>
        <v>16.383200599999999</v>
      </c>
      <c r="R13" s="324">
        <f t="shared" si="2"/>
        <v>1.6383200599999998E-2</v>
      </c>
    </row>
    <row r="14" spans="1:18" ht="15" customHeight="1" x14ac:dyDescent="0.25">
      <c r="A14" s="509" t="s">
        <v>289</v>
      </c>
      <c r="B14" s="314" t="s">
        <v>286</v>
      </c>
      <c r="C14" s="280">
        <f>'CHP Fuel Use, CEMS Data'!R19</f>
        <v>70250</v>
      </c>
      <c r="D14" s="331" t="s">
        <v>287</v>
      </c>
      <c r="E14" s="332">
        <f>C14*'CHP Fuel Use, CEMS Data'!$K$48/1000000</f>
        <v>9607.4602500000001</v>
      </c>
      <c r="F14" s="331" t="s">
        <v>191</v>
      </c>
      <c r="G14" s="325">
        <v>73.959999999999994</v>
      </c>
      <c r="H14" s="316" t="s">
        <v>285</v>
      </c>
      <c r="I14" s="326">
        <f t="shared" ref="I14:I22" si="5">E14*G14</f>
        <v>710567.76009</v>
      </c>
      <c r="J14" s="318">
        <f t="shared" si="3"/>
        <v>710.56776008999998</v>
      </c>
      <c r="K14" s="327">
        <v>3.0000000000000001E-3</v>
      </c>
      <c r="L14" s="328" t="s">
        <v>285</v>
      </c>
      <c r="M14" s="321">
        <f t="shared" si="0"/>
        <v>28.822380750000001</v>
      </c>
      <c r="N14" s="322">
        <f t="shared" si="4"/>
        <v>2.8822380750000001E-2</v>
      </c>
      <c r="O14" s="315">
        <v>5.9999999999999995E-4</v>
      </c>
      <c r="P14" s="316" t="s">
        <v>285</v>
      </c>
      <c r="Q14" s="329">
        <f t="shared" si="1"/>
        <v>5.7644761499999992</v>
      </c>
      <c r="R14" s="324">
        <f t="shared" si="2"/>
        <v>5.7644761499999995E-3</v>
      </c>
    </row>
    <row r="15" spans="1:18" ht="15" customHeight="1" x14ac:dyDescent="0.25">
      <c r="A15" s="509" t="s">
        <v>575</v>
      </c>
      <c r="B15" s="314" t="s">
        <v>290</v>
      </c>
      <c r="C15" s="280">
        <f>'CHP Fuel Use, CEMS Data'!X19</f>
        <v>955953</v>
      </c>
      <c r="D15" s="331" t="s">
        <v>284</v>
      </c>
      <c r="E15" s="332">
        <f>C15*'CHP Fuel Use, CEMS Data'!$K$49/1000</f>
        <v>984631.59</v>
      </c>
      <c r="F15" s="331" t="s">
        <v>191</v>
      </c>
      <c r="G15" s="315">
        <v>53.06</v>
      </c>
      <c r="H15" s="316" t="s">
        <v>285</v>
      </c>
      <c r="I15" s="326">
        <f t="shared" si="5"/>
        <v>52244552.165399998</v>
      </c>
      <c r="J15" s="318">
        <f t="shared" si="3"/>
        <v>52244.552165399997</v>
      </c>
      <c r="K15" s="330">
        <v>1E-3</v>
      </c>
      <c r="L15" s="328" t="s">
        <v>285</v>
      </c>
      <c r="M15" s="321">
        <f t="shared" si="0"/>
        <v>984.63158999999996</v>
      </c>
      <c r="N15" s="322">
        <f t="shared" si="4"/>
        <v>0.98463159</v>
      </c>
      <c r="O15" s="315">
        <v>1E-4</v>
      </c>
      <c r="P15" s="316" t="s">
        <v>285</v>
      </c>
      <c r="Q15" s="329">
        <f t="shared" si="1"/>
        <v>98.463159000000005</v>
      </c>
      <c r="R15" s="378">
        <f t="shared" si="2"/>
        <v>9.8463159000000008E-2</v>
      </c>
    </row>
    <row r="16" spans="1:18" ht="15" customHeight="1" x14ac:dyDescent="0.25">
      <c r="A16" s="509" t="s">
        <v>576</v>
      </c>
      <c r="B16" s="314" t="s">
        <v>291</v>
      </c>
      <c r="C16" s="280">
        <f>'CHP Fuel Use, CEMS Data'!AA19</f>
        <v>121085</v>
      </c>
      <c r="D16" s="331" t="s">
        <v>287</v>
      </c>
      <c r="E16" s="332">
        <f>C16*'CHP Fuel Use, CEMS Data'!$K$48/1000000</f>
        <v>16559.705685000001</v>
      </c>
      <c r="F16" s="331" t="s">
        <v>191</v>
      </c>
      <c r="G16" s="325">
        <v>73.959999999999994</v>
      </c>
      <c r="H16" s="316" t="s">
        <v>285</v>
      </c>
      <c r="I16" s="326">
        <f t="shared" si="5"/>
        <v>1224755.8324626</v>
      </c>
      <c r="J16" s="318">
        <f>I16/1000</f>
        <v>1224.7558324626</v>
      </c>
      <c r="K16" s="327">
        <v>3.0000000000000001E-3</v>
      </c>
      <c r="L16" s="328" t="s">
        <v>285</v>
      </c>
      <c r="M16" s="321">
        <f t="shared" si="0"/>
        <v>49.679117055000006</v>
      </c>
      <c r="N16" s="322">
        <f t="shared" si="4"/>
        <v>4.9679117055000006E-2</v>
      </c>
      <c r="O16" s="315">
        <v>5.9999999999999995E-4</v>
      </c>
      <c r="P16" s="316" t="s">
        <v>285</v>
      </c>
      <c r="Q16" s="329">
        <f t="shared" si="1"/>
        <v>9.9358234109999994</v>
      </c>
      <c r="R16" s="324">
        <f t="shared" si="2"/>
        <v>9.9358234109999995E-3</v>
      </c>
    </row>
    <row r="17" spans="1:19" ht="15" customHeight="1" x14ac:dyDescent="0.25">
      <c r="A17" s="509" t="s">
        <v>292</v>
      </c>
      <c r="B17" s="314" t="s">
        <v>293</v>
      </c>
      <c r="C17" s="280">
        <f>'CHP Fuel Use, CEMS Data'!AE21</f>
        <v>303564.7</v>
      </c>
      <c r="D17" s="331" t="s">
        <v>284</v>
      </c>
      <c r="E17" s="332">
        <f>C17*'CHP Fuel Use, CEMS Data'!$K$49/1000</f>
        <v>312671.641</v>
      </c>
      <c r="F17" s="331" t="s">
        <v>191</v>
      </c>
      <c r="G17" s="315">
        <v>53.06</v>
      </c>
      <c r="H17" s="316" t="s">
        <v>285</v>
      </c>
      <c r="I17" s="326">
        <f t="shared" si="5"/>
        <v>16590357.27146</v>
      </c>
      <c r="J17" s="318">
        <f>I17/1000</f>
        <v>16590.357271460001</v>
      </c>
      <c r="K17" s="330">
        <v>1E-3</v>
      </c>
      <c r="L17" s="328" t="s">
        <v>285</v>
      </c>
      <c r="M17" s="321">
        <f t="shared" si="0"/>
        <v>312.67164100000002</v>
      </c>
      <c r="N17" s="322">
        <f t="shared" si="4"/>
        <v>0.31267164100000006</v>
      </c>
      <c r="O17" s="315">
        <v>1E-4</v>
      </c>
      <c r="P17" s="316" t="s">
        <v>285</v>
      </c>
      <c r="Q17" s="329">
        <f t="shared" si="1"/>
        <v>31.267164100000002</v>
      </c>
      <c r="R17" s="324">
        <f t="shared" si="2"/>
        <v>3.1267164100000001E-2</v>
      </c>
    </row>
    <row r="18" spans="1:19" ht="15" customHeight="1" x14ac:dyDescent="0.25">
      <c r="A18" s="509" t="s">
        <v>503</v>
      </c>
      <c r="B18" s="314" t="s">
        <v>283</v>
      </c>
      <c r="C18" s="280">
        <f>'Small Boilers - NG1'!E18+'Small Boilers - NG1'!E8</f>
        <v>125807.70000000001</v>
      </c>
      <c r="D18" s="331" t="s">
        <v>294</v>
      </c>
      <c r="E18" s="986">
        <f>C18*0.1</f>
        <v>12580.770000000002</v>
      </c>
      <c r="F18" s="331" t="s">
        <v>191</v>
      </c>
      <c r="G18" s="315">
        <v>53.06</v>
      </c>
      <c r="H18" s="316" t="s">
        <v>285</v>
      </c>
      <c r="I18" s="326">
        <f t="shared" si="5"/>
        <v>667535.6562000002</v>
      </c>
      <c r="J18" s="318">
        <f t="shared" si="3"/>
        <v>667.53565620000018</v>
      </c>
      <c r="K18" s="330">
        <v>1E-3</v>
      </c>
      <c r="L18" s="328" t="s">
        <v>285</v>
      </c>
      <c r="M18" s="321">
        <f t="shared" si="0"/>
        <v>12.580770000000003</v>
      </c>
      <c r="N18" s="322">
        <f t="shared" si="4"/>
        <v>1.2580770000000003E-2</v>
      </c>
      <c r="O18" s="315">
        <v>1E-4</v>
      </c>
      <c r="P18" s="316" t="s">
        <v>285</v>
      </c>
      <c r="Q18" s="329">
        <f t="shared" si="1"/>
        <v>1.2580770000000003</v>
      </c>
      <c r="R18" s="324">
        <f t="shared" si="2"/>
        <v>1.2580770000000005E-3</v>
      </c>
    </row>
    <row r="19" spans="1:19" ht="15" customHeight="1" x14ac:dyDescent="0.25">
      <c r="A19" s="509" t="s">
        <v>295</v>
      </c>
      <c r="B19" s="314" t="s">
        <v>286</v>
      </c>
      <c r="C19" s="662">
        <f>'Small Boilers - Oil'!D19</f>
        <v>8797.7999999999993</v>
      </c>
      <c r="D19" s="331" t="s">
        <v>287</v>
      </c>
      <c r="E19" s="986">
        <f>C19*'CHP Fuel Use, CEMS Data'!K48/1000000</f>
        <v>1203.1959257999999</v>
      </c>
      <c r="F19" s="331" t="s">
        <v>191</v>
      </c>
      <c r="G19" s="334">
        <v>73.959999999999994</v>
      </c>
      <c r="H19" s="316" t="s">
        <v>296</v>
      </c>
      <c r="I19" s="326">
        <f t="shared" si="5"/>
        <v>88988.370672167992</v>
      </c>
      <c r="J19" s="318">
        <f t="shared" si="3"/>
        <v>88.988370672167989</v>
      </c>
      <c r="K19" s="327">
        <v>3.0000000000000001E-3</v>
      </c>
      <c r="L19" s="328" t="s">
        <v>285</v>
      </c>
      <c r="M19" s="321">
        <f t="shared" si="0"/>
        <v>3.6095877773999998</v>
      </c>
      <c r="N19" s="322">
        <f t="shared" si="4"/>
        <v>3.6095877773999999E-3</v>
      </c>
      <c r="O19" s="315">
        <v>5.9999999999999995E-4</v>
      </c>
      <c r="P19" s="316" t="s">
        <v>285</v>
      </c>
      <c r="Q19" s="329">
        <f t="shared" si="1"/>
        <v>0.72191755547999992</v>
      </c>
      <c r="R19" s="324">
        <f t="shared" si="2"/>
        <v>7.2191755547999998E-4</v>
      </c>
    </row>
    <row r="20" spans="1:19" x14ac:dyDescent="0.25">
      <c r="A20" s="509" t="s">
        <v>480</v>
      </c>
      <c r="B20" s="314" t="s">
        <v>297</v>
      </c>
      <c r="C20" s="280">
        <f>'NG, Diesel and Propane totals'!B71</f>
        <v>17705.099999999999</v>
      </c>
      <c r="D20" s="331" t="s">
        <v>287</v>
      </c>
      <c r="E20" s="332">
        <f>C20*0.091</f>
        <v>1611.1640999999997</v>
      </c>
      <c r="F20" s="331" t="s">
        <v>191</v>
      </c>
      <c r="G20" s="325">
        <v>61.71</v>
      </c>
      <c r="H20" s="316" t="s">
        <v>296</v>
      </c>
      <c r="I20" s="326">
        <f t="shared" si="5"/>
        <v>99424.936610999983</v>
      </c>
      <c r="J20" s="318">
        <f t="shared" si="3"/>
        <v>99.424936610999978</v>
      </c>
      <c r="K20" s="327">
        <v>3.0000000000000001E-3</v>
      </c>
      <c r="L20" s="328" t="s">
        <v>285</v>
      </c>
      <c r="M20" s="321">
        <f t="shared" si="0"/>
        <v>4.8334922999999996</v>
      </c>
      <c r="N20" s="322">
        <f t="shared" si="4"/>
        <v>4.8334922999999997E-3</v>
      </c>
      <c r="O20" s="315">
        <v>5.9999999999999995E-4</v>
      </c>
      <c r="P20" s="316" t="s">
        <v>285</v>
      </c>
      <c r="Q20" s="329">
        <f t="shared" si="1"/>
        <v>0.9666984599999997</v>
      </c>
      <c r="R20" s="324">
        <f t="shared" si="2"/>
        <v>9.6669845999999967E-4</v>
      </c>
    </row>
    <row r="21" spans="1:19" x14ac:dyDescent="0.25">
      <c r="A21" s="509" t="s">
        <v>481</v>
      </c>
      <c r="B21" s="314" t="s">
        <v>299</v>
      </c>
      <c r="C21" s="280">
        <f>'NG, Diesel and Propane totals'!D43</f>
        <v>125854.58</v>
      </c>
      <c r="D21" s="331" t="s">
        <v>294</v>
      </c>
      <c r="E21" s="332">
        <f>C21*0.1</f>
        <v>12585.458000000001</v>
      </c>
      <c r="F21" s="331" t="s">
        <v>191</v>
      </c>
      <c r="G21" s="315">
        <v>53.06</v>
      </c>
      <c r="H21" s="316" t="s">
        <v>285</v>
      </c>
      <c r="I21" s="326">
        <f t="shared" si="5"/>
        <v>667784.40148</v>
      </c>
      <c r="J21" s="318">
        <f t="shared" si="3"/>
        <v>667.78440148000004</v>
      </c>
      <c r="K21" s="330">
        <v>1E-3</v>
      </c>
      <c r="L21" s="328" t="s">
        <v>285</v>
      </c>
      <c r="M21" s="321">
        <f t="shared" si="0"/>
        <v>12.585458000000001</v>
      </c>
      <c r="N21" s="322">
        <f t="shared" si="4"/>
        <v>1.2585458000000001E-2</v>
      </c>
      <c r="O21" s="315">
        <v>1E-4</v>
      </c>
      <c r="P21" s="316" t="s">
        <v>285</v>
      </c>
      <c r="Q21" s="329">
        <f t="shared" si="1"/>
        <v>1.2585458</v>
      </c>
      <c r="R21" s="324">
        <f t="shared" si="2"/>
        <v>1.2585458000000001E-3</v>
      </c>
    </row>
    <row r="22" spans="1:19" ht="16.5" thickBot="1" x14ac:dyDescent="0.3">
      <c r="A22" s="510" t="s">
        <v>300</v>
      </c>
      <c r="B22" s="335" t="s">
        <v>299</v>
      </c>
      <c r="C22" s="336">
        <f>'NG, Diesel and Propane totals'!C43</f>
        <v>116053.1</v>
      </c>
      <c r="D22" s="337" t="s">
        <v>294</v>
      </c>
      <c r="E22" s="338">
        <f>C22*0.1</f>
        <v>11605.310000000001</v>
      </c>
      <c r="F22" s="337" t="s">
        <v>191</v>
      </c>
      <c r="G22" s="339">
        <v>53.06</v>
      </c>
      <c r="H22" s="340" t="s">
        <v>285</v>
      </c>
      <c r="I22" s="341">
        <f t="shared" si="5"/>
        <v>615777.74860000005</v>
      </c>
      <c r="J22" s="499">
        <f t="shared" si="3"/>
        <v>615.7777486</v>
      </c>
      <c r="K22" s="342">
        <v>1E-3</v>
      </c>
      <c r="L22" s="343" t="s">
        <v>285</v>
      </c>
      <c r="M22" s="344">
        <f t="shared" si="0"/>
        <v>11.605310000000001</v>
      </c>
      <c r="N22" s="376">
        <f t="shared" si="4"/>
        <v>1.1605310000000001E-2</v>
      </c>
      <c r="O22" s="339">
        <v>1E-4</v>
      </c>
      <c r="P22" s="340" t="s">
        <v>285</v>
      </c>
      <c r="Q22" s="345">
        <f t="shared" si="1"/>
        <v>1.1605310000000002</v>
      </c>
      <c r="R22" s="377">
        <f t="shared" si="2"/>
        <v>1.1605310000000002E-3</v>
      </c>
    </row>
    <row r="23" spans="1:19" ht="16.5" thickTop="1" x14ac:dyDescent="0.25">
      <c r="A23" s="346"/>
      <c r="B23" s="347"/>
      <c r="C23" s="507"/>
      <c r="D23" s="369"/>
      <c r="E23" s="508"/>
      <c r="F23" s="369"/>
      <c r="G23" s="370"/>
      <c r="H23" s="369"/>
      <c r="I23" s="321" t="s">
        <v>301</v>
      </c>
      <c r="J23" s="321">
        <f>SUM(J9:J22)</f>
        <v>108107.19877424254</v>
      </c>
      <c r="K23" s="321"/>
      <c r="L23" s="321"/>
      <c r="M23" s="321"/>
      <c r="N23" s="321">
        <f>SUM(N9:N22)</f>
        <v>2.1360382284254005</v>
      </c>
      <c r="O23" s="321"/>
      <c r="P23" s="321"/>
      <c r="Q23" s="321"/>
      <c r="R23" s="321">
        <f>SUM(R9:R22)</f>
        <v>0.23194899838508001</v>
      </c>
    </row>
    <row r="24" spans="1:19" x14ac:dyDescent="0.25">
      <c r="F24" s="369"/>
      <c r="I24" s="348"/>
      <c r="J24" s="348"/>
      <c r="K24" s="349"/>
      <c r="L24" s="349"/>
      <c r="M24" s="349"/>
      <c r="N24" s="349"/>
      <c r="O24" s="349"/>
      <c r="P24" s="349"/>
      <c r="Q24" s="349"/>
    </row>
    <row r="25" spans="1:19" ht="15" customHeight="1" x14ac:dyDescent="0.25">
      <c r="F25" s="369"/>
      <c r="G25" s="1139"/>
      <c r="H25" s="1139"/>
      <c r="I25" s="371"/>
      <c r="J25" s="371"/>
      <c r="K25" s="371"/>
      <c r="L25" s="371"/>
      <c r="M25" s="371"/>
      <c r="N25" s="371"/>
      <c r="O25" s="371"/>
      <c r="P25" s="371"/>
      <c r="Q25" s="371"/>
    </row>
    <row r="26" spans="1:19" x14ac:dyDescent="0.25">
      <c r="A26" s="333" t="s">
        <v>302</v>
      </c>
      <c r="B26" s="348"/>
      <c r="E26" s="333"/>
      <c r="F26" s="333"/>
    </row>
    <row r="27" spans="1:19" x14ac:dyDescent="0.25">
      <c r="A27" s="1146"/>
      <c r="B27" s="1146"/>
      <c r="C27" s="1146"/>
      <c r="D27" s="1146"/>
      <c r="E27" s="1146"/>
      <c r="F27" s="1146"/>
      <c r="G27" s="1146"/>
      <c r="H27" s="1146"/>
    </row>
    <row r="28" spans="1:19" ht="32.25" customHeight="1" x14ac:dyDescent="0.25">
      <c r="A28" s="1145" t="s">
        <v>303</v>
      </c>
      <c r="B28" s="1145"/>
      <c r="C28" s="1145"/>
      <c r="D28" s="1145"/>
      <c r="E28" s="1145"/>
      <c r="F28" s="1145"/>
      <c r="G28" s="1145"/>
      <c r="H28" s="1145"/>
    </row>
    <row r="30" spans="1:19" x14ac:dyDescent="0.25">
      <c r="I30" s="349" t="s">
        <v>304</v>
      </c>
      <c r="J30" s="333">
        <v>1</v>
      </c>
      <c r="N30" s="333">
        <v>25</v>
      </c>
      <c r="R30" s="333">
        <v>298</v>
      </c>
    </row>
    <row r="31" spans="1:19" x14ac:dyDescent="0.25">
      <c r="I31" s="349" t="s">
        <v>305</v>
      </c>
      <c r="J31" s="372">
        <f>J30*J23</f>
        <v>108107.19877424254</v>
      </c>
      <c r="K31" s="372"/>
      <c r="L31" s="372"/>
      <c r="M31" s="372"/>
      <c r="N31" s="372">
        <f>N30*N23</f>
        <v>53.40095571063501</v>
      </c>
      <c r="O31" s="372"/>
      <c r="P31" s="372"/>
      <c r="Q31" s="372"/>
      <c r="R31" s="372">
        <f>R30*R23</f>
        <v>69.120801518753851</v>
      </c>
      <c r="S31" s="372"/>
    </row>
    <row r="33" spans="9:18" x14ac:dyDescent="0.25">
      <c r="I33" s="333" t="s">
        <v>306</v>
      </c>
      <c r="K33" s="372">
        <f>J31+N31+R31</f>
        <v>108229.72053147193</v>
      </c>
      <c r="L33" s="333" t="s">
        <v>307</v>
      </c>
    </row>
    <row r="36" spans="9:18" x14ac:dyDescent="0.25">
      <c r="J36" s="372"/>
      <c r="N36" s="372"/>
      <c r="R36" s="372"/>
    </row>
  </sheetData>
  <mergeCells count="14">
    <mergeCell ref="A28:H28"/>
    <mergeCell ref="A27:H27"/>
    <mergeCell ref="C8:D8"/>
    <mergeCell ref="E8:F8"/>
    <mergeCell ref="G8:H8"/>
    <mergeCell ref="O8:P8"/>
    <mergeCell ref="G25:H25"/>
    <mergeCell ref="A1:R1"/>
    <mergeCell ref="A2:R2"/>
    <mergeCell ref="A3:R3"/>
    <mergeCell ref="G7:J7"/>
    <mergeCell ref="K7:N7"/>
    <mergeCell ref="O7:R7"/>
    <mergeCell ref="K8:L8"/>
  </mergeCells>
  <pageMargins left="0.7" right="0.7" top="0.75" bottom="0.75" header="0.3" footer="0.3"/>
  <pageSetup scale="5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activeCell="D9" sqref="D9"/>
    </sheetView>
  </sheetViews>
  <sheetFormatPr defaultRowHeight="15" x14ac:dyDescent="0.25"/>
  <sheetData>
    <row r="1" spans="1:4" x14ac:dyDescent="0.25">
      <c r="A1" s="1286" t="s">
        <v>992</v>
      </c>
      <c r="B1" s="1286"/>
      <c r="C1" s="1286"/>
      <c r="D1" s="970"/>
    </row>
    <row r="2" spans="1:4" x14ac:dyDescent="0.25">
      <c r="A2" s="1286" t="s">
        <v>993</v>
      </c>
      <c r="B2" s="1286"/>
      <c r="C2" s="1286"/>
      <c r="D2" s="970"/>
    </row>
    <row r="3" spans="1:4" x14ac:dyDescent="0.25">
      <c r="A3" s="970"/>
      <c r="B3" s="970"/>
      <c r="C3" s="970"/>
      <c r="D3" s="970"/>
    </row>
    <row r="4" spans="1:4" x14ac:dyDescent="0.25">
      <c r="A4" s="972" t="s">
        <v>813</v>
      </c>
      <c r="B4" s="971" t="s">
        <v>814</v>
      </c>
      <c r="C4" s="973" t="s">
        <v>29</v>
      </c>
      <c r="D4" s="970"/>
    </row>
    <row r="5" spans="1:4" x14ac:dyDescent="0.25">
      <c r="A5" s="974" t="s">
        <v>811</v>
      </c>
      <c r="B5" s="978"/>
      <c r="C5" s="975" t="s">
        <v>0</v>
      </c>
      <c r="D5" s="970"/>
    </row>
    <row r="6" spans="1:4" x14ac:dyDescent="0.25">
      <c r="A6" s="974" t="s">
        <v>812</v>
      </c>
      <c r="B6" s="978"/>
      <c r="C6" s="975" t="s">
        <v>0</v>
      </c>
      <c r="D6" s="970"/>
    </row>
    <row r="7" spans="1:4" x14ac:dyDescent="0.25">
      <c r="A7" s="974" t="s">
        <v>994</v>
      </c>
      <c r="B7" s="978"/>
      <c r="C7" s="975" t="s">
        <v>0</v>
      </c>
      <c r="D7" s="970"/>
    </row>
    <row r="8" spans="1:4" x14ac:dyDescent="0.25">
      <c r="A8" s="974" t="s">
        <v>815</v>
      </c>
      <c r="B8" s="978"/>
      <c r="C8" s="975" t="s">
        <v>0</v>
      </c>
      <c r="D8" s="970"/>
    </row>
    <row r="9" spans="1:4" x14ac:dyDescent="0.25">
      <c r="A9" s="974" t="s">
        <v>816</v>
      </c>
      <c r="B9" s="978"/>
      <c r="C9" s="975" t="s">
        <v>0</v>
      </c>
      <c r="D9" s="970"/>
    </row>
    <row r="10" spans="1:4" x14ac:dyDescent="0.25">
      <c r="A10" s="976" t="s">
        <v>995</v>
      </c>
      <c r="B10" s="979"/>
      <c r="C10" s="977" t="s">
        <v>817</v>
      </c>
      <c r="D10" s="970"/>
    </row>
    <row r="45" spans="8:10" x14ac:dyDescent="0.25">
      <c r="H45" s="970"/>
      <c r="I45" s="970"/>
      <c r="J45" s="970"/>
    </row>
  </sheetData>
  <mergeCells count="2">
    <mergeCell ref="A2:C2"/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1"/>
  <sheetViews>
    <sheetView zoomScale="70" zoomScaleNormal="70" workbookViewId="0">
      <selection activeCell="U33" sqref="U33"/>
    </sheetView>
  </sheetViews>
  <sheetFormatPr defaultRowHeight="15.75" x14ac:dyDescent="0.25"/>
  <cols>
    <col min="1" max="1" width="38.7109375" style="380" customWidth="1"/>
    <col min="2" max="2" width="19.85546875" style="380" customWidth="1"/>
    <col min="3" max="3" width="21.85546875" style="381" customWidth="1"/>
    <col min="4" max="4" width="22.5703125" style="381" customWidth="1"/>
    <col min="5" max="5" width="13.7109375" style="381" customWidth="1"/>
    <col min="6" max="6" width="12.7109375" style="381" customWidth="1"/>
    <col min="7" max="7" width="12.85546875" style="381" customWidth="1"/>
    <col min="8" max="8" width="14.5703125" style="381" customWidth="1"/>
    <col min="9" max="9" width="16.140625" style="381" customWidth="1"/>
    <col min="10" max="10" width="19.85546875" style="1106" customWidth="1"/>
    <col min="11" max="11" width="19.42578125" style="381" customWidth="1"/>
    <col min="12" max="12" width="12.28515625" style="380" customWidth="1"/>
    <col min="13" max="13" width="14.140625" style="380" customWidth="1"/>
    <col min="14" max="14" width="11.42578125" style="380" customWidth="1"/>
    <col min="15" max="15" width="14.42578125" style="381" customWidth="1"/>
    <col min="16" max="16" width="12" style="380" customWidth="1"/>
    <col min="17" max="17" width="14.5703125" style="380" customWidth="1"/>
    <col min="18" max="18" width="11.7109375" style="380" customWidth="1"/>
    <col min="19" max="19" width="14.42578125" style="381" customWidth="1"/>
    <col min="20" max="20" width="19.28515625" style="380" bestFit="1" customWidth="1"/>
    <col min="21" max="21" width="12.42578125" style="380" bestFit="1" customWidth="1"/>
    <col min="22" max="16384" width="9.140625" style="380"/>
  </cols>
  <sheetData>
    <row r="1" spans="1:23" ht="21" customHeight="1" x14ac:dyDescent="0.3">
      <c r="A1" s="1151" t="s">
        <v>443</v>
      </c>
      <c r="B1" s="1151"/>
      <c r="C1" s="1151"/>
      <c r="D1" s="1151"/>
      <c r="E1" s="1151"/>
      <c r="F1" s="1151"/>
      <c r="G1" s="1151"/>
      <c r="H1" s="1151"/>
      <c r="I1" s="1151"/>
      <c r="J1" s="1151"/>
      <c r="K1" s="1151"/>
      <c r="L1" s="1151"/>
      <c r="M1" s="1151"/>
      <c r="N1" s="1151"/>
      <c r="O1" s="1151"/>
      <c r="P1" s="1151"/>
      <c r="Q1" s="1151"/>
      <c r="R1" s="1151"/>
      <c r="S1" s="1151"/>
      <c r="T1" s="379"/>
      <c r="U1" s="379"/>
      <c r="V1" s="379"/>
      <c r="W1" s="379"/>
    </row>
    <row r="2" spans="1:23" ht="21" customHeight="1" x14ac:dyDescent="0.3">
      <c r="A2" s="1151" t="s">
        <v>1012</v>
      </c>
      <c r="B2" s="1151"/>
      <c r="C2" s="1151"/>
      <c r="D2" s="1151"/>
      <c r="E2" s="1151"/>
      <c r="F2" s="1151"/>
      <c r="G2" s="1151"/>
      <c r="H2" s="1151"/>
      <c r="I2" s="1151"/>
      <c r="J2" s="1151"/>
      <c r="K2" s="1151"/>
      <c r="L2" s="1151"/>
      <c r="M2" s="1151"/>
      <c r="N2" s="1151"/>
      <c r="O2" s="1151"/>
      <c r="P2" s="1151"/>
      <c r="Q2" s="1151"/>
      <c r="R2" s="1151"/>
      <c r="S2" s="1151"/>
      <c r="T2" s="379"/>
      <c r="U2" s="379"/>
      <c r="V2" s="379"/>
      <c r="W2" s="379"/>
    </row>
    <row r="3" spans="1:23" ht="21" customHeight="1" x14ac:dyDescent="0.3">
      <c r="A3" s="1151" t="s">
        <v>444</v>
      </c>
      <c r="B3" s="1151"/>
      <c r="C3" s="1151"/>
      <c r="D3" s="1151"/>
      <c r="E3" s="1151"/>
      <c r="F3" s="1151"/>
      <c r="G3" s="1151"/>
      <c r="H3" s="1151"/>
      <c r="I3" s="1151"/>
      <c r="J3" s="1151"/>
      <c r="K3" s="1151"/>
      <c r="L3" s="1151"/>
      <c r="M3" s="1151"/>
      <c r="N3" s="1151"/>
      <c r="O3" s="1151"/>
      <c r="P3" s="1151"/>
      <c r="Q3" s="1151"/>
      <c r="R3" s="1151"/>
      <c r="S3" s="1151"/>
      <c r="T3" s="379"/>
      <c r="U3" s="379"/>
      <c r="V3" s="379"/>
      <c r="W3" s="379"/>
    </row>
    <row r="4" spans="1:23" ht="16.5" thickBot="1" x14ac:dyDescent="0.3">
      <c r="B4" s="381"/>
      <c r="F4" s="380"/>
      <c r="G4" s="380"/>
      <c r="H4" s="380"/>
      <c r="I4" s="380"/>
      <c r="K4" s="380"/>
      <c r="O4" s="380"/>
      <c r="S4" s="380"/>
    </row>
    <row r="5" spans="1:23" ht="17.25" thickTop="1" thickBot="1" x14ac:dyDescent="0.3">
      <c r="B5" s="381"/>
      <c r="F5" s="380"/>
      <c r="G5" s="380"/>
      <c r="H5" s="1152" t="s">
        <v>942</v>
      </c>
      <c r="I5" s="1153"/>
      <c r="J5" s="1153"/>
      <c r="K5" s="1153"/>
      <c r="L5" s="1152" t="s">
        <v>940</v>
      </c>
      <c r="M5" s="1153"/>
      <c r="N5" s="1153"/>
      <c r="O5" s="1154"/>
      <c r="P5" s="1152" t="s">
        <v>941</v>
      </c>
      <c r="Q5" s="1153"/>
      <c r="R5" s="1153"/>
      <c r="S5" s="1154"/>
      <c r="T5" s="380" t="s">
        <v>1063</v>
      </c>
    </row>
    <row r="6" spans="1:23" ht="33" customHeight="1" thickTop="1" thickBot="1" x14ac:dyDescent="0.3">
      <c r="A6" s="382" t="s">
        <v>271</v>
      </c>
      <c r="B6" s="383" t="s">
        <v>272</v>
      </c>
      <c r="C6" s="383" t="s">
        <v>308</v>
      </c>
      <c r="D6" s="1150" t="s">
        <v>1001</v>
      </c>
      <c r="E6" s="1150"/>
      <c r="F6" s="1150" t="s">
        <v>1011</v>
      </c>
      <c r="G6" s="1150"/>
      <c r="H6" s="1155" t="s">
        <v>943</v>
      </c>
      <c r="I6" s="1156"/>
      <c r="J6" s="1107" t="s">
        <v>945</v>
      </c>
      <c r="K6" s="384" t="s">
        <v>928</v>
      </c>
      <c r="L6" s="1157" t="s">
        <v>309</v>
      </c>
      <c r="M6" s="1156"/>
      <c r="N6" s="384" t="s">
        <v>929</v>
      </c>
      <c r="O6" s="384" t="s">
        <v>930</v>
      </c>
      <c r="P6" s="1158" t="s">
        <v>310</v>
      </c>
      <c r="Q6" s="1159"/>
      <c r="R6" s="385" t="s">
        <v>931</v>
      </c>
      <c r="S6" s="386" t="s">
        <v>932</v>
      </c>
    </row>
    <row r="7" spans="1:23" ht="19.5" customHeight="1" x14ac:dyDescent="0.25">
      <c r="A7" s="387" t="s">
        <v>282</v>
      </c>
      <c r="B7" s="389" t="s">
        <v>283</v>
      </c>
      <c r="C7" s="388" t="s">
        <v>311</v>
      </c>
      <c r="D7" s="777">
        <f>'Boiler Emissions'!C11</f>
        <v>275.5994</v>
      </c>
      <c r="E7" s="388" t="s">
        <v>579</v>
      </c>
      <c r="F7" s="391">
        <f>'Federal eGGRT Calcs'!E9</f>
        <v>283867.38199999998</v>
      </c>
      <c r="G7" s="388" t="s">
        <v>191</v>
      </c>
      <c r="H7" s="326">
        <v>120000</v>
      </c>
      <c r="I7" s="389" t="s">
        <v>933</v>
      </c>
      <c r="J7" s="773">
        <f>H7*D7</f>
        <v>33071928</v>
      </c>
      <c r="K7" s="773">
        <f t="shared" ref="K7:K32" si="0">J7/2000</f>
        <v>16535.964</v>
      </c>
      <c r="L7" s="772">
        <v>2.2707609999999998</v>
      </c>
      <c r="M7" s="772" t="s">
        <v>933</v>
      </c>
      <c r="N7" s="773">
        <f>D7*L7</f>
        <v>625.82036914339994</v>
      </c>
      <c r="O7" s="396">
        <f t="shared" ref="O7:O32" si="1">N7/2000</f>
        <v>0.31291018457169995</v>
      </c>
      <c r="P7" s="388">
        <v>0.22046199999999999</v>
      </c>
      <c r="Q7" s="388" t="s">
        <v>933</v>
      </c>
      <c r="R7" s="774">
        <f>D7*P7</f>
        <v>60.759194922799999</v>
      </c>
      <c r="S7" s="771">
        <f t="shared" ref="S7:S32" si="2">R7/2000</f>
        <v>3.0379597461399999E-2</v>
      </c>
      <c r="T7" s="1117">
        <f>K7+O7+S7</f>
        <v>16536.307289782035</v>
      </c>
    </row>
    <row r="8" spans="1:23" ht="19.5" customHeight="1" x14ac:dyDescent="0.25">
      <c r="A8" s="387" t="s">
        <v>282</v>
      </c>
      <c r="B8" s="389" t="s">
        <v>286</v>
      </c>
      <c r="C8" s="388" t="s">
        <v>312</v>
      </c>
      <c r="D8" s="390">
        <f>'Federal eGGRT Calcs'!C10</f>
        <v>106272</v>
      </c>
      <c r="E8" s="388" t="s">
        <v>287</v>
      </c>
      <c r="F8" s="391">
        <f>'Federal eGGRT Calcs'!E10</f>
        <v>14533.864992000001</v>
      </c>
      <c r="G8" s="388" t="s">
        <v>191</v>
      </c>
      <c r="H8" s="773">
        <v>22509.196970000001</v>
      </c>
      <c r="I8" s="389" t="s">
        <v>63</v>
      </c>
      <c r="J8" s="773">
        <f>H8*D8/1000</f>
        <v>2392097.3803958404</v>
      </c>
      <c r="K8" s="773">
        <f t="shared" si="0"/>
        <v>1196.0486901979202</v>
      </c>
      <c r="L8" s="388">
        <v>0.903895</v>
      </c>
      <c r="M8" s="388" t="s">
        <v>63</v>
      </c>
      <c r="N8" s="773">
        <f>D8/1000*L8</f>
        <v>96.058729440000008</v>
      </c>
      <c r="O8" s="396">
        <f t="shared" si="1"/>
        <v>4.8029364720000002E-2</v>
      </c>
      <c r="P8" s="388">
        <v>0.11</v>
      </c>
      <c r="Q8" s="388" t="s">
        <v>63</v>
      </c>
      <c r="R8" s="773">
        <f>D8/1000*P8</f>
        <v>11.689920000000001</v>
      </c>
      <c r="S8" s="771">
        <f t="shared" si="2"/>
        <v>5.8449600000000006E-3</v>
      </c>
      <c r="T8" s="1117">
        <f t="shared" ref="T8:T32" si="3">K8+O8+S8</f>
        <v>1196.1025645226403</v>
      </c>
    </row>
    <row r="9" spans="1:23" ht="19.5" customHeight="1" x14ac:dyDescent="0.25">
      <c r="A9" s="387" t="s">
        <v>288</v>
      </c>
      <c r="B9" s="389" t="s">
        <v>283</v>
      </c>
      <c r="C9" s="388" t="s">
        <v>311</v>
      </c>
      <c r="D9" s="777">
        <f>'Boiler Emissions'!D11</f>
        <v>165.83720000000002</v>
      </c>
      <c r="E9" s="388" t="s">
        <v>579</v>
      </c>
      <c r="F9" s="391">
        <f>'Federal eGGRT Calcs'!E11</f>
        <v>170812.31599999999</v>
      </c>
      <c r="G9" s="388" t="s">
        <v>191</v>
      </c>
      <c r="H9" s="326">
        <v>120000</v>
      </c>
      <c r="I9" s="389" t="s">
        <v>933</v>
      </c>
      <c r="J9" s="773">
        <f>H9*D9</f>
        <v>19900464.000000004</v>
      </c>
      <c r="K9" s="773">
        <f t="shared" si="0"/>
        <v>9950.2320000000018</v>
      </c>
      <c r="L9" s="388">
        <v>2.2707609999999998</v>
      </c>
      <c r="M9" s="388" t="s">
        <v>933</v>
      </c>
      <c r="N9" s="773">
        <f>D9*L9</f>
        <v>376.5766461092</v>
      </c>
      <c r="O9" s="396">
        <f t="shared" si="1"/>
        <v>0.1882883230546</v>
      </c>
      <c r="P9" s="388">
        <v>0.22046199999999999</v>
      </c>
      <c r="Q9" s="388" t="s">
        <v>933</v>
      </c>
      <c r="R9" s="773">
        <f>D9*P9</f>
        <v>36.560800786400002</v>
      </c>
      <c r="S9" s="771">
        <f t="shared" si="2"/>
        <v>1.8280400393199999E-2</v>
      </c>
      <c r="T9" s="1117">
        <f t="shared" si="3"/>
        <v>9950.438568723448</v>
      </c>
    </row>
    <row r="10" spans="1:23" ht="19.5" customHeight="1" x14ac:dyDescent="0.25">
      <c r="A10" s="387" t="s">
        <v>288</v>
      </c>
      <c r="B10" s="389" t="s">
        <v>286</v>
      </c>
      <c r="C10" s="388" t="s">
        <v>312</v>
      </c>
      <c r="D10" s="390">
        <f>'Federal eGGRT Calcs'!C12</f>
        <v>128949</v>
      </c>
      <c r="E10" s="388" t="s">
        <v>287</v>
      </c>
      <c r="F10" s="391">
        <f>'Federal eGGRT Calcs'!E12</f>
        <v>17635.194189000002</v>
      </c>
      <c r="G10" s="388" t="s">
        <v>191</v>
      </c>
      <c r="H10" s="773">
        <v>22509.196970000001</v>
      </c>
      <c r="I10" s="389" t="s">
        <v>63</v>
      </c>
      <c r="J10" s="773">
        <f>H10*D10/1000</f>
        <v>2902538.44008453</v>
      </c>
      <c r="K10" s="773">
        <f t="shared" si="0"/>
        <v>1451.269220042265</v>
      </c>
      <c r="L10" s="388">
        <v>0.903895</v>
      </c>
      <c r="M10" s="388" t="s">
        <v>63</v>
      </c>
      <c r="N10" s="773">
        <f>D10/1000*L10</f>
        <v>116.55635635500001</v>
      </c>
      <c r="O10" s="396">
        <f t="shared" si="1"/>
        <v>5.8278178177500001E-2</v>
      </c>
      <c r="P10" s="388">
        <v>0.11</v>
      </c>
      <c r="Q10" s="388" t="s">
        <v>63</v>
      </c>
      <c r="R10" s="773">
        <f>D10/1000*P10</f>
        <v>14.184390000000002</v>
      </c>
      <c r="S10" s="771">
        <f t="shared" si="2"/>
        <v>7.0921950000000008E-3</v>
      </c>
      <c r="T10" s="1117">
        <f t="shared" si="3"/>
        <v>1451.3345904154426</v>
      </c>
    </row>
    <row r="11" spans="1:23" ht="19.5" customHeight="1" x14ac:dyDescent="0.25">
      <c r="A11" s="387" t="s">
        <v>289</v>
      </c>
      <c r="B11" s="389" t="s">
        <v>283</v>
      </c>
      <c r="C11" s="388" t="s">
        <v>311</v>
      </c>
      <c r="D11" s="809">
        <f>'Boiler Emissions'!E11</f>
        <v>159.06020000000001</v>
      </c>
      <c r="E11" s="388" t="s">
        <v>579</v>
      </c>
      <c r="F11" s="391">
        <f>'Boiler Emissions'!E12</f>
        <v>163832.00600000002</v>
      </c>
      <c r="G11" s="388" t="s">
        <v>191</v>
      </c>
      <c r="H11" s="326">
        <v>120000</v>
      </c>
      <c r="I11" s="389" t="s">
        <v>933</v>
      </c>
      <c r="J11" s="773">
        <f>H11*D11</f>
        <v>19087224</v>
      </c>
      <c r="K11" s="773">
        <f t="shared" si="0"/>
        <v>9543.6119999999992</v>
      </c>
      <c r="L11" s="388">
        <v>2.2707609999999998</v>
      </c>
      <c r="M11" s="388" t="s">
        <v>933</v>
      </c>
      <c r="N11" s="773">
        <f>D11*L11</f>
        <v>361.18769881219998</v>
      </c>
      <c r="O11" s="396">
        <f t="shared" si="1"/>
        <v>0.18059384940609999</v>
      </c>
      <c r="P11" s="388">
        <v>0.22046199999999999</v>
      </c>
      <c r="Q11" s="388" t="s">
        <v>933</v>
      </c>
      <c r="R11" s="773">
        <f>D11*P11</f>
        <v>35.066729812399998</v>
      </c>
      <c r="S11" s="771">
        <f t="shared" si="2"/>
        <v>1.75333649062E-2</v>
      </c>
      <c r="T11" s="1117">
        <f t="shared" si="3"/>
        <v>9543.8101272143103</v>
      </c>
    </row>
    <row r="12" spans="1:23" ht="19.5" customHeight="1" x14ac:dyDescent="0.25">
      <c r="A12" s="387" t="s">
        <v>289</v>
      </c>
      <c r="B12" s="389" t="s">
        <v>286</v>
      </c>
      <c r="C12" s="388" t="s">
        <v>312</v>
      </c>
      <c r="D12" s="390">
        <f>'Federal eGGRT Calcs'!C14</f>
        <v>70250</v>
      </c>
      <c r="E12" s="388" t="s">
        <v>287</v>
      </c>
      <c r="F12" s="391">
        <f>'Federal eGGRT Calcs'!E14</f>
        <v>9607.4602500000001</v>
      </c>
      <c r="G12" s="388" t="s">
        <v>191</v>
      </c>
      <c r="H12" s="773">
        <v>22509.196970000001</v>
      </c>
      <c r="I12" s="389" t="s">
        <v>63</v>
      </c>
      <c r="J12" s="773">
        <f>H12*D12/1000</f>
        <v>1581271.0871425001</v>
      </c>
      <c r="K12" s="773">
        <f t="shared" si="0"/>
        <v>790.63554357125008</v>
      </c>
      <c r="L12" s="388">
        <v>0.903895</v>
      </c>
      <c r="M12" s="388" t="s">
        <v>63</v>
      </c>
      <c r="N12" s="773">
        <f>D12/1000*L12</f>
        <v>63.49862375</v>
      </c>
      <c r="O12" s="396">
        <f t="shared" si="1"/>
        <v>3.1749311874999998E-2</v>
      </c>
      <c r="P12" s="388">
        <v>0.11</v>
      </c>
      <c r="Q12" s="388" t="s">
        <v>63</v>
      </c>
      <c r="R12" s="773">
        <f>D12/1000*P12</f>
        <v>7.7275</v>
      </c>
      <c r="S12" s="771">
        <f t="shared" si="2"/>
        <v>3.86375E-3</v>
      </c>
      <c r="T12" s="1117">
        <f t="shared" si="3"/>
        <v>790.67115663312518</v>
      </c>
      <c r="U12" s="1118">
        <f>SUM(T7:T12)</f>
        <v>39468.664297291005</v>
      </c>
    </row>
    <row r="13" spans="1:23" ht="19.5" customHeight="1" x14ac:dyDescent="0.25">
      <c r="A13" s="387" t="s">
        <v>117</v>
      </c>
      <c r="B13" s="389" t="s">
        <v>290</v>
      </c>
      <c r="C13" s="388" t="s">
        <v>311</v>
      </c>
      <c r="D13" s="390">
        <f>'Federal eGGRT Calcs'!C15</f>
        <v>955953</v>
      </c>
      <c r="E13" s="388" t="s">
        <v>284</v>
      </c>
      <c r="F13" s="391">
        <f>'Federal eGGRT Calcs'!E15</f>
        <v>984631.59</v>
      </c>
      <c r="G13" s="388" t="s">
        <v>191</v>
      </c>
      <c r="H13" s="775">
        <v>110</v>
      </c>
      <c r="I13" s="389" t="s">
        <v>30</v>
      </c>
      <c r="J13" s="773">
        <f>H13*F13</f>
        <v>108309474.89999999</v>
      </c>
      <c r="K13" s="773">
        <f t="shared" si="0"/>
        <v>54154.737449999993</v>
      </c>
      <c r="L13" s="388">
        <v>2.2130000000000001E-3</v>
      </c>
      <c r="M13" s="389" t="s">
        <v>30</v>
      </c>
      <c r="N13" s="773">
        <f>F13*L13</f>
        <v>2178.9897086700003</v>
      </c>
      <c r="O13" s="396">
        <f t="shared" si="1"/>
        <v>1.089494854335</v>
      </c>
      <c r="P13" s="388">
        <v>2.1499999999999999E-4</v>
      </c>
      <c r="Q13" s="389" t="s">
        <v>30</v>
      </c>
      <c r="R13" s="773">
        <f>F13*P13</f>
        <v>211.69579184999998</v>
      </c>
      <c r="S13" s="771">
        <f t="shared" si="2"/>
        <v>0.10584789592499999</v>
      </c>
      <c r="T13" s="1117">
        <f t="shared" si="3"/>
        <v>54155.932792750253</v>
      </c>
    </row>
    <row r="14" spans="1:23" ht="19.5" customHeight="1" x14ac:dyDescent="0.25">
      <c r="A14" s="387" t="s">
        <v>117</v>
      </c>
      <c r="B14" s="389" t="s">
        <v>291</v>
      </c>
      <c r="C14" s="388" t="s">
        <v>312</v>
      </c>
      <c r="D14" s="390">
        <f>'Federal eGGRT Calcs'!C16</f>
        <v>121085</v>
      </c>
      <c r="E14" s="388" t="s">
        <v>287</v>
      </c>
      <c r="F14" s="391">
        <f>'Federal eGGRT Calcs'!E16</f>
        <v>16559.705685000001</v>
      </c>
      <c r="G14" s="388" t="s">
        <v>191</v>
      </c>
      <c r="H14" s="773">
        <v>157</v>
      </c>
      <c r="I14" s="389" t="s">
        <v>934</v>
      </c>
      <c r="J14" s="773">
        <f>H14*F14</f>
        <v>2599873.7925450001</v>
      </c>
      <c r="K14" s="773">
        <f t="shared" si="0"/>
        <v>1299.9368962725</v>
      </c>
      <c r="L14" s="388">
        <v>6.5500000000000003E-3</v>
      </c>
      <c r="M14" s="388" t="s">
        <v>935</v>
      </c>
      <c r="N14" s="773">
        <f>F14*L14</f>
        <v>108.46607223675001</v>
      </c>
      <c r="O14" s="396">
        <f t="shared" si="1"/>
        <v>5.4233036118375003E-2</v>
      </c>
      <c r="P14" s="388">
        <v>1.2780000000000001E-3</v>
      </c>
      <c r="Q14" s="388" t="s">
        <v>936</v>
      </c>
      <c r="R14" s="773">
        <f>F14*P14</f>
        <v>21.163303865430002</v>
      </c>
      <c r="S14" s="771">
        <f t="shared" si="2"/>
        <v>1.0581651932715002E-2</v>
      </c>
      <c r="T14" s="1117">
        <f t="shared" si="3"/>
        <v>1300.001710960551</v>
      </c>
      <c r="U14" s="1118">
        <f>T14+T13</f>
        <v>55455.934503710807</v>
      </c>
    </row>
    <row r="15" spans="1:23" ht="19.5" customHeight="1" x14ac:dyDescent="0.25">
      <c r="A15" s="387" t="s">
        <v>292</v>
      </c>
      <c r="B15" s="389" t="s">
        <v>293</v>
      </c>
      <c r="C15" s="388" t="s">
        <v>311</v>
      </c>
      <c r="D15" s="390">
        <f>'Federal eGGRT Calcs'!C17</f>
        <v>303564.7</v>
      </c>
      <c r="E15" s="388" t="s">
        <v>284</v>
      </c>
      <c r="F15" s="391">
        <f>'Federal eGGRT Calcs'!E17</f>
        <v>312671.641</v>
      </c>
      <c r="G15" s="388" t="s">
        <v>191</v>
      </c>
      <c r="H15" s="326">
        <v>120000</v>
      </c>
      <c r="I15" s="389" t="s">
        <v>933</v>
      </c>
      <c r="J15" s="773">
        <f>H15*D15/1000</f>
        <v>36427764</v>
      </c>
      <c r="K15" s="773">
        <f t="shared" ref="K15" si="4">J15/2000</f>
        <v>18213.882000000001</v>
      </c>
      <c r="L15" s="388">
        <v>2.2707609999999998</v>
      </c>
      <c r="M15" s="388" t="s">
        <v>933</v>
      </c>
      <c r="N15" s="773">
        <f>D15*L15/1000</f>
        <v>689.32288173669997</v>
      </c>
      <c r="O15" s="396">
        <f t="shared" ref="O15" si="5">N15/2000</f>
        <v>0.34466144086834999</v>
      </c>
      <c r="P15" s="388">
        <v>0.22046199999999999</v>
      </c>
      <c r="Q15" s="388" t="s">
        <v>933</v>
      </c>
      <c r="R15" s="773">
        <f>F15*P15/1000</f>
        <v>68.932215318141999</v>
      </c>
      <c r="S15" s="771">
        <f t="shared" ref="S15" si="6">R15/2000</f>
        <v>3.4466107659071002E-2</v>
      </c>
      <c r="T15" s="1117">
        <f t="shared" si="3"/>
        <v>18214.261127548529</v>
      </c>
      <c r="U15" s="1118">
        <f>T15</f>
        <v>18214.261127548529</v>
      </c>
    </row>
    <row r="16" spans="1:23" ht="19.5" customHeight="1" x14ac:dyDescent="0.25">
      <c r="A16" s="387" t="s">
        <v>446</v>
      </c>
      <c r="B16" s="389" t="s">
        <v>283</v>
      </c>
      <c r="C16" s="388" t="s">
        <v>311</v>
      </c>
      <c r="D16" s="782">
        <f>'Small Boilers - NG1'!F8</f>
        <v>3.3776566049983772</v>
      </c>
      <c r="E16" s="388" t="s">
        <v>579</v>
      </c>
      <c r="F16" s="391">
        <f>D16*1020</f>
        <v>3445.2097370983447</v>
      </c>
      <c r="G16" s="388" t="s">
        <v>191</v>
      </c>
      <c r="H16" s="326">
        <v>120020</v>
      </c>
      <c r="I16" s="389" t="s">
        <v>933</v>
      </c>
      <c r="J16" s="773">
        <f>H16*D16</f>
        <v>405386.34573190525</v>
      </c>
      <c r="K16" s="773">
        <f t="shared" si="0"/>
        <v>202.69317286595262</v>
      </c>
      <c r="L16" s="388">
        <v>2.2707609999999998</v>
      </c>
      <c r="M16" s="388" t="s">
        <v>933</v>
      </c>
      <c r="N16" s="773">
        <f>D16*L16</f>
        <v>7.6698508900227189</v>
      </c>
      <c r="O16" s="396">
        <f t="shared" si="1"/>
        <v>3.8349254450113597E-3</v>
      </c>
      <c r="P16" s="388">
        <v>0.22046199999999999</v>
      </c>
      <c r="Q16" s="388" t="s">
        <v>933</v>
      </c>
      <c r="R16" s="773">
        <f>D16*P16</f>
        <v>0.74464493045115221</v>
      </c>
      <c r="S16" s="771">
        <f t="shared" si="2"/>
        <v>3.7232246522557613E-4</v>
      </c>
      <c r="T16" s="1117">
        <f t="shared" si="3"/>
        <v>202.69738011386286</v>
      </c>
    </row>
    <row r="17" spans="1:21" ht="19.5" customHeight="1" x14ac:dyDescent="0.25">
      <c r="A17" s="387" t="s">
        <v>447</v>
      </c>
      <c r="B17" s="389" t="s">
        <v>283</v>
      </c>
      <c r="C17" s="388" t="s">
        <v>311</v>
      </c>
      <c r="D17" s="782">
        <f>'Small Boilers - NG1'!F18</f>
        <v>8.8723628691983105</v>
      </c>
      <c r="E17" s="388" t="s">
        <v>579</v>
      </c>
      <c r="F17" s="391">
        <f>D17*1020</f>
        <v>9049.810126582277</v>
      </c>
      <c r="G17" s="388" t="s">
        <v>191</v>
      </c>
      <c r="H17" s="326">
        <v>120000</v>
      </c>
      <c r="I17" s="389" t="s">
        <v>933</v>
      </c>
      <c r="J17" s="773">
        <f>H17*D17</f>
        <v>1064683.5443037972</v>
      </c>
      <c r="K17" s="773">
        <f t="shared" si="0"/>
        <v>532.34177215189857</v>
      </c>
      <c r="L17" s="388">
        <v>2.2707609999999998</v>
      </c>
      <c r="M17" s="388" t="s">
        <v>933</v>
      </c>
      <c r="N17" s="773">
        <f>D17*L17</f>
        <v>20.147015581223624</v>
      </c>
      <c r="O17" s="396">
        <f t="shared" si="1"/>
        <v>1.0073507790611811E-2</v>
      </c>
      <c r="P17" s="388">
        <v>0.22046199999999999</v>
      </c>
      <c r="Q17" s="388" t="s">
        <v>933</v>
      </c>
      <c r="R17" s="773">
        <f>D17*P17</f>
        <v>1.9560188628691979</v>
      </c>
      <c r="S17" s="771">
        <f t="shared" si="2"/>
        <v>9.7800943143459894E-4</v>
      </c>
      <c r="T17" s="1117">
        <f t="shared" si="3"/>
        <v>532.35282366912054</v>
      </c>
    </row>
    <row r="18" spans="1:21" ht="19.5" customHeight="1" x14ac:dyDescent="0.25">
      <c r="A18" s="387" t="s">
        <v>295</v>
      </c>
      <c r="B18" s="389" t="s">
        <v>286</v>
      </c>
      <c r="C18" s="388" t="s">
        <v>312</v>
      </c>
      <c r="D18" s="390">
        <f>'Small Boilers - Oil'!D19</f>
        <v>8797.7999999999993</v>
      </c>
      <c r="E18" s="388" t="s">
        <v>287</v>
      </c>
      <c r="F18" s="391">
        <f>'Federal eGGRT Calcs'!E19</f>
        <v>1203.1959257999999</v>
      </c>
      <c r="G18" s="388" t="s">
        <v>191</v>
      </c>
      <c r="H18" s="773">
        <v>22509.196970000001</v>
      </c>
      <c r="I18" s="389" t="s">
        <v>63</v>
      </c>
      <c r="J18" s="773">
        <f t="shared" ref="J18:J24" si="7">H18*D18/1000</f>
        <v>198031.413102666</v>
      </c>
      <c r="K18" s="773">
        <f t="shared" si="0"/>
        <v>99.015706551332997</v>
      </c>
      <c r="L18" s="388">
        <v>0.903895</v>
      </c>
      <c r="M18" s="388" t="s">
        <v>63</v>
      </c>
      <c r="N18" s="773">
        <f t="shared" ref="N18:N24" si="8">D18/1000*L18</f>
        <v>7.9522874309999985</v>
      </c>
      <c r="O18" s="396">
        <f t="shared" si="1"/>
        <v>3.9761437154999992E-3</v>
      </c>
      <c r="P18" s="388">
        <v>0.11</v>
      </c>
      <c r="Q18" s="388" t="s">
        <v>63</v>
      </c>
      <c r="R18" s="773">
        <f t="shared" ref="R18:R24" si="9">D18/1000*P18</f>
        <v>0.9677579999999999</v>
      </c>
      <c r="S18" s="771">
        <f t="shared" si="2"/>
        <v>4.8387899999999994E-4</v>
      </c>
      <c r="T18" s="1117">
        <f t="shared" si="3"/>
        <v>99.020166574048503</v>
      </c>
    </row>
    <row r="19" spans="1:21" ht="19.5" customHeight="1" x14ac:dyDescent="0.25">
      <c r="A19" s="387" t="s">
        <v>313</v>
      </c>
      <c r="B19" s="389" t="s">
        <v>590</v>
      </c>
      <c r="C19" s="388" t="s">
        <v>312</v>
      </c>
      <c r="D19" s="1091">
        <f>'Emergency Generators - Diesel'!H12</f>
        <v>202.59712230215825</v>
      </c>
      <c r="E19" s="388" t="s">
        <v>287</v>
      </c>
      <c r="F19" s="466">
        <f>'Emergency Generators - Diesel'!H11</f>
        <v>28.161000000000001</v>
      </c>
      <c r="G19" s="388" t="s">
        <v>191</v>
      </c>
      <c r="H19" s="773">
        <v>22600</v>
      </c>
      <c r="I19" s="389" t="s">
        <v>63</v>
      </c>
      <c r="J19" s="773">
        <f t="shared" si="7"/>
        <v>4578.6949640287767</v>
      </c>
      <c r="K19" s="773">
        <f t="shared" si="0"/>
        <v>2.2893474820143882</v>
      </c>
      <c r="L19" s="388">
        <v>0.91044999999999998</v>
      </c>
      <c r="M19" s="388" t="s">
        <v>63</v>
      </c>
      <c r="N19" s="790">
        <f t="shared" si="8"/>
        <v>0.18445454999999999</v>
      </c>
      <c r="O19" s="396">
        <f t="shared" si="1"/>
        <v>9.2227274999999995E-5</v>
      </c>
      <c r="P19" s="388">
        <v>0.17765</v>
      </c>
      <c r="Q19" s="388" t="s">
        <v>63</v>
      </c>
      <c r="R19" s="773">
        <f t="shared" si="9"/>
        <v>3.5991378776978417E-2</v>
      </c>
      <c r="S19" s="771">
        <f t="shared" si="2"/>
        <v>1.7995689388489209E-5</v>
      </c>
      <c r="T19" s="1117">
        <f t="shared" si="3"/>
        <v>2.2894577049787768</v>
      </c>
    </row>
    <row r="20" spans="1:21" ht="19.5" customHeight="1" x14ac:dyDescent="0.25">
      <c r="A20" s="387" t="s">
        <v>314</v>
      </c>
      <c r="B20" s="389" t="s">
        <v>590</v>
      </c>
      <c r="C20" s="388" t="s">
        <v>312</v>
      </c>
      <c r="D20" s="1091">
        <f>'Emergency Generators - Diesel'!H16</f>
        <v>13.506474820143884</v>
      </c>
      <c r="E20" s="388" t="s">
        <v>287</v>
      </c>
      <c r="F20" s="466">
        <f>'Emergency Generators - Diesel'!H15</f>
        <v>1.8774</v>
      </c>
      <c r="G20" s="388" t="s">
        <v>191</v>
      </c>
      <c r="H20" s="773">
        <v>22600</v>
      </c>
      <c r="I20" s="389" t="s">
        <v>63</v>
      </c>
      <c r="J20" s="773">
        <f t="shared" si="7"/>
        <v>305.24633093525176</v>
      </c>
      <c r="K20" s="773">
        <f t="shared" si="0"/>
        <v>0.15262316546762589</v>
      </c>
      <c r="L20" s="388">
        <v>0.91044999999999998</v>
      </c>
      <c r="M20" s="388" t="s">
        <v>63</v>
      </c>
      <c r="N20" s="790">
        <f t="shared" si="8"/>
        <v>1.2296969999999999E-2</v>
      </c>
      <c r="O20" s="396">
        <f t="shared" si="1"/>
        <v>6.1484849999999995E-6</v>
      </c>
      <c r="P20" s="388">
        <v>0.17765</v>
      </c>
      <c r="Q20" s="388" t="s">
        <v>63</v>
      </c>
      <c r="R20" s="773">
        <f t="shared" si="9"/>
        <v>2.3994252517985609E-3</v>
      </c>
      <c r="S20" s="771">
        <f t="shared" si="2"/>
        <v>1.1997126258992804E-6</v>
      </c>
      <c r="T20" s="1117">
        <f t="shared" si="3"/>
        <v>0.15263051366525179</v>
      </c>
    </row>
    <row r="21" spans="1:21" ht="19.5" customHeight="1" x14ac:dyDescent="0.25">
      <c r="A21" s="387" t="s">
        <v>315</v>
      </c>
      <c r="B21" s="389" t="s">
        <v>590</v>
      </c>
      <c r="C21" s="388" t="s">
        <v>312</v>
      </c>
      <c r="D21" s="1091">
        <f>'Emergency Generators - Diesel'!H30</f>
        <v>1396.7045611510791</v>
      </c>
      <c r="E21" s="388" t="s">
        <v>287</v>
      </c>
      <c r="F21" s="466">
        <f>'Emergency Generators - Diesel'!H29</f>
        <v>194.14193400000002</v>
      </c>
      <c r="G21" s="388" t="s">
        <v>191</v>
      </c>
      <c r="H21" s="773">
        <v>22600</v>
      </c>
      <c r="I21" s="389" t="s">
        <v>63</v>
      </c>
      <c r="J21" s="773">
        <f t="shared" si="7"/>
        <v>31565.523082014388</v>
      </c>
      <c r="K21" s="773">
        <f t="shared" si="0"/>
        <v>15.782761541007194</v>
      </c>
      <c r="L21" s="388">
        <v>0.91044999999999998</v>
      </c>
      <c r="M21" s="388" t="s">
        <v>63</v>
      </c>
      <c r="N21" s="790">
        <f t="shared" si="8"/>
        <v>1.2716296676999999</v>
      </c>
      <c r="O21" s="396">
        <f t="shared" si="1"/>
        <v>6.3581483384999996E-4</v>
      </c>
      <c r="P21" s="388">
        <v>0.17765</v>
      </c>
      <c r="Q21" s="388" t="s">
        <v>63</v>
      </c>
      <c r="R21" s="773">
        <f t="shared" si="9"/>
        <v>0.2481245652884892</v>
      </c>
      <c r="S21" s="771">
        <f t="shared" si="2"/>
        <v>1.240622826442446E-4</v>
      </c>
      <c r="T21" s="1117">
        <f t="shared" si="3"/>
        <v>15.783521418123687</v>
      </c>
    </row>
    <row r="22" spans="1:21" ht="19.5" customHeight="1" x14ac:dyDescent="0.25">
      <c r="A22" s="387" t="s">
        <v>316</v>
      </c>
      <c r="B22" s="389" t="s">
        <v>590</v>
      </c>
      <c r="C22" s="388" t="s">
        <v>312</v>
      </c>
      <c r="D22" s="1110">
        <f>'Emergency Generators - Diesel'!H42</f>
        <v>444.73444964028783</v>
      </c>
      <c r="E22" s="390" t="s">
        <v>287</v>
      </c>
      <c r="F22" s="466">
        <f>'Emergency Generators - Diesel'!H41</f>
        <v>61.818088500000016</v>
      </c>
      <c r="G22" s="388" t="s">
        <v>191</v>
      </c>
      <c r="H22" s="773">
        <v>22600</v>
      </c>
      <c r="I22" s="389" t="s">
        <v>63</v>
      </c>
      <c r="J22" s="773">
        <f t="shared" si="7"/>
        <v>10050.998561870505</v>
      </c>
      <c r="K22" s="1109">
        <f t="shared" si="0"/>
        <v>5.0254992809352528</v>
      </c>
      <c r="L22" s="388">
        <v>0.91044999999999998</v>
      </c>
      <c r="M22" s="388" t="s">
        <v>63</v>
      </c>
      <c r="N22" s="790">
        <f t="shared" si="8"/>
        <v>0.40490847967500004</v>
      </c>
      <c r="O22" s="396">
        <f t="shared" si="1"/>
        <v>2.0245423983750001E-4</v>
      </c>
      <c r="P22" s="388">
        <v>0.17765</v>
      </c>
      <c r="Q22" s="388" t="s">
        <v>63</v>
      </c>
      <c r="R22" s="773">
        <f t="shared" si="9"/>
        <v>7.9007074978597144E-2</v>
      </c>
      <c r="S22" s="771">
        <f t="shared" si="2"/>
        <v>3.950353748929857E-5</v>
      </c>
      <c r="T22" s="1117">
        <f t="shared" si="3"/>
        <v>5.0257412387125795</v>
      </c>
    </row>
    <row r="23" spans="1:21" ht="19.5" customHeight="1" x14ac:dyDescent="0.25">
      <c r="A23" s="387" t="s">
        <v>317</v>
      </c>
      <c r="B23" s="389" t="s">
        <v>590</v>
      </c>
      <c r="C23" s="388" t="s">
        <v>312</v>
      </c>
      <c r="D23" s="1091">
        <f>'Emergency Generators - Diesel'!H57</f>
        <v>1206.5351582733808</v>
      </c>
      <c r="E23" s="390" t="s">
        <v>287</v>
      </c>
      <c r="F23" s="466">
        <f>'Emergency Generators - Diesel'!H56</f>
        <v>167.70838699999996</v>
      </c>
      <c r="G23" s="388" t="s">
        <v>191</v>
      </c>
      <c r="H23" s="773">
        <v>22600</v>
      </c>
      <c r="I23" s="389" t="s">
        <v>63</v>
      </c>
      <c r="J23" s="773">
        <f t="shared" si="7"/>
        <v>27267.694576978407</v>
      </c>
      <c r="K23" s="773">
        <f t="shared" si="0"/>
        <v>13.633847288489203</v>
      </c>
      <c r="L23" s="388">
        <v>0.91044999999999998</v>
      </c>
      <c r="M23" s="388" t="s">
        <v>63</v>
      </c>
      <c r="N23" s="790">
        <f t="shared" si="8"/>
        <v>1.0984899348499995</v>
      </c>
      <c r="O23" s="396">
        <f t="shared" si="1"/>
        <v>5.4924496742499976E-4</v>
      </c>
      <c r="P23" s="388">
        <v>0.17765</v>
      </c>
      <c r="Q23" s="388" t="s">
        <v>63</v>
      </c>
      <c r="R23" s="773">
        <f t="shared" si="9"/>
        <v>0.21434097086726608</v>
      </c>
      <c r="S23" s="771">
        <f t="shared" si="2"/>
        <v>1.0717048543363305E-4</v>
      </c>
      <c r="T23" s="1117">
        <f t="shared" si="3"/>
        <v>13.634503703942062</v>
      </c>
    </row>
    <row r="24" spans="1:21" ht="19.5" customHeight="1" x14ac:dyDescent="0.25">
      <c r="A24" s="387" t="s">
        <v>318</v>
      </c>
      <c r="B24" s="389" t="s">
        <v>590</v>
      </c>
      <c r="C24" s="388" t="s">
        <v>312</v>
      </c>
      <c r="D24" s="1091">
        <f>'Emergency Generators - Diesel'!H78</f>
        <v>582.4667266187048</v>
      </c>
      <c r="E24" s="388" t="s">
        <v>287</v>
      </c>
      <c r="F24" s="466">
        <f>'Emergency Generators - Diesel'!H77</f>
        <v>80.962874999999968</v>
      </c>
      <c r="G24" s="388" t="s">
        <v>191</v>
      </c>
      <c r="H24" s="773">
        <v>22600</v>
      </c>
      <c r="I24" s="389" t="s">
        <v>63</v>
      </c>
      <c r="J24" s="773">
        <f t="shared" si="7"/>
        <v>13163.748021582729</v>
      </c>
      <c r="K24" s="773">
        <f t="shared" si="0"/>
        <v>6.5818740107913642</v>
      </c>
      <c r="L24" s="388">
        <v>0.91044999999999998</v>
      </c>
      <c r="M24" s="388" t="s">
        <v>63</v>
      </c>
      <c r="N24" s="790">
        <f t="shared" si="8"/>
        <v>0.53030683124999978</v>
      </c>
      <c r="O24" s="396">
        <f t="shared" si="1"/>
        <v>2.6515341562499987E-4</v>
      </c>
      <c r="P24" s="388">
        <v>0.17765</v>
      </c>
      <c r="Q24" s="388" t="s">
        <v>63</v>
      </c>
      <c r="R24" s="773">
        <f t="shared" si="9"/>
        <v>0.1034752139838129</v>
      </c>
      <c r="S24" s="771">
        <f t="shared" si="2"/>
        <v>5.1737606991906454E-5</v>
      </c>
      <c r="T24" s="1117">
        <f t="shared" si="3"/>
        <v>6.5821909018139806</v>
      </c>
    </row>
    <row r="25" spans="1:21" ht="19.5" customHeight="1" x14ac:dyDescent="0.25">
      <c r="A25" s="387" t="s">
        <v>319</v>
      </c>
      <c r="B25" s="389" t="s">
        <v>591</v>
      </c>
      <c r="C25" s="388" t="s">
        <v>311</v>
      </c>
      <c r="D25" s="1092">
        <f>F25/1020</f>
        <v>0.12736226382352941</v>
      </c>
      <c r="E25" s="390" t="s">
        <v>579</v>
      </c>
      <c r="F25" s="466">
        <f>'Emergency Generators-NG'!G24</f>
        <v>129.90950910000001</v>
      </c>
      <c r="G25" s="388" t="s">
        <v>191</v>
      </c>
      <c r="H25" s="773">
        <v>120019.65549999999</v>
      </c>
      <c r="I25" s="389" t="s">
        <v>933</v>
      </c>
      <c r="J25" s="773">
        <f>H25*D25</f>
        <v>15285.975027800112</v>
      </c>
      <c r="K25" s="773">
        <f t="shared" si="0"/>
        <v>7.6429875139000556</v>
      </c>
      <c r="L25" s="388">
        <v>2.2707609999999998</v>
      </c>
      <c r="M25" s="388" t="s">
        <v>933</v>
      </c>
      <c r="N25" s="790">
        <f>D25*L25</f>
        <v>0.28920926156218146</v>
      </c>
      <c r="O25" s="396">
        <f t="shared" si="1"/>
        <v>1.4460463078109074E-4</v>
      </c>
      <c r="P25" s="388">
        <v>0.22046199999999999</v>
      </c>
      <c r="Q25" s="388" t="s">
        <v>63</v>
      </c>
      <c r="R25" s="773">
        <f>D25*P25</f>
        <v>2.8078539407062942E-2</v>
      </c>
      <c r="S25" s="771">
        <f t="shared" si="2"/>
        <v>1.4039269703531471E-5</v>
      </c>
      <c r="T25" s="1117">
        <f t="shared" si="3"/>
        <v>7.6431461578005395</v>
      </c>
    </row>
    <row r="26" spans="1:21" ht="19.5" customHeight="1" x14ac:dyDescent="0.25">
      <c r="A26" s="387" t="s">
        <v>445</v>
      </c>
      <c r="B26" s="389" t="s">
        <v>939</v>
      </c>
      <c r="C26" s="388" t="s">
        <v>312</v>
      </c>
      <c r="D26" s="1091">
        <f>'Emergency Generators - Diesel'!H82</f>
        <v>286.16843525179854</v>
      </c>
      <c r="E26" s="390" t="s">
        <v>287</v>
      </c>
      <c r="F26" s="467">
        <f>'Emergency Generators - Diesel'!H80</f>
        <v>39.777412499999997</v>
      </c>
      <c r="G26" s="388" t="s">
        <v>191</v>
      </c>
      <c r="H26" s="773">
        <v>22600</v>
      </c>
      <c r="I26" s="389" t="s">
        <v>63</v>
      </c>
      <c r="J26" s="773">
        <f>H26*D26/1000</f>
        <v>6467.4066366906472</v>
      </c>
      <c r="K26" s="773">
        <f t="shared" si="0"/>
        <v>3.2337033183453237</v>
      </c>
      <c r="L26" s="388">
        <v>0.91015000000000001</v>
      </c>
      <c r="M26" s="388" t="s">
        <v>63</v>
      </c>
      <c r="N26" s="790">
        <f>D26/1000*L26</f>
        <v>0.26045620134442443</v>
      </c>
      <c r="O26" s="396">
        <f t="shared" si="1"/>
        <v>1.3022810067221221E-4</v>
      </c>
      <c r="P26" s="388">
        <v>0.17765</v>
      </c>
      <c r="Q26" s="388" t="s">
        <v>63</v>
      </c>
      <c r="R26" s="773">
        <f>D26/1000*P26</f>
        <v>5.0837822522482007E-2</v>
      </c>
      <c r="S26" s="771">
        <f t="shared" si="2"/>
        <v>2.5418911261241002E-5</v>
      </c>
      <c r="T26" s="1117">
        <f t="shared" si="3"/>
        <v>3.2338589653572569</v>
      </c>
    </row>
    <row r="27" spans="1:21" ht="19.5" customHeight="1" x14ac:dyDescent="0.25">
      <c r="A27" s="387" t="s">
        <v>677</v>
      </c>
      <c r="B27" s="389" t="s">
        <v>590</v>
      </c>
      <c r="C27" s="388" t="s">
        <v>312</v>
      </c>
      <c r="D27" s="1091">
        <f>'Emergency Generators - Diesel'!H87</f>
        <v>1027.1674100719433</v>
      </c>
      <c r="E27" s="388" t="s">
        <v>287</v>
      </c>
      <c r="F27" s="466">
        <f>'Emergency Generators - Diesel'!H86</f>
        <v>142.77627000000012</v>
      </c>
      <c r="G27" s="388" t="s">
        <v>191</v>
      </c>
      <c r="H27" s="773">
        <v>22600</v>
      </c>
      <c r="I27" s="389" t="s">
        <v>63</v>
      </c>
      <c r="J27" s="773">
        <f>H27*D27/1000</f>
        <v>23213.98346762592</v>
      </c>
      <c r="K27" s="773">
        <f t="shared" si="0"/>
        <v>11.60699173381296</v>
      </c>
      <c r="L27" s="388">
        <v>0.91015000000000001</v>
      </c>
      <c r="M27" s="388" t="s">
        <v>63</v>
      </c>
      <c r="N27" s="790">
        <f>D27/1000*L27</f>
        <v>0.93487641827697909</v>
      </c>
      <c r="O27" s="396">
        <f t="shared" si="1"/>
        <v>4.6743820913848955E-4</v>
      </c>
      <c r="P27" s="388">
        <v>0.17765</v>
      </c>
      <c r="Q27" s="388" t="s">
        <v>63</v>
      </c>
      <c r="R27" s="773">
        <f>D27/1000*P27</f>
        <v>0.18247629039928071</v>
      </c>
      <c r="S27" s="771">
        <f t="shared" si="2"/>
        <v>9.1238145199640353E-5</v>
      </c>
      <c r="T27" s="1117">
        <f t="shared" si="3"/>
        <v>11.607550410167297</v>
      </c>
    </row>
    <row r="28" spans="1:21" ht="19.5" customHeight="1" x14ac:dyDescent="0.25">
      <c r="A28" s="387" t="s">
        <v>320</v>
      </c>
      <c r="B28" s="389" t="s">
        <v>590</v>
      </c>
      <c r="C28" s="388" t="s">
        <v>312</v>
      </c>
      <c r="D28" s="390">
        <f>'Black Start Emerg. Generator'!B5</f>
        <v>205</v>
      </c>
      <c r="E28" s="388" t="s">
        <v>287</v>
      </c>
      <c r="F28" s="397">
        <f>D28*0.138</f>
        <v>28.290000000000003</v>
      </c>
      <c r="G28" s="388" t="s">
        <v>191</v>
      </c>
      <c r="H28" s="773">
        <v>22600</v>
      </c>
      <c r="I28" s="389" t="s">
        <v>63</v>
      </c>
      <c r="J28" s="773">
        <f>H28*D28/1000</f>
        <v>4633</v>
      </c>
      <c r="K28" s="773">
        <f t="shared" si="0"/>
        <v>2.3165</v>
      </c>
      <c r="L28" s="388">
        <v>0.91015000000000001</v>
      </c>
      <c r="M28" s="388" t="s">
        <v>63</v>
      </c>
      <c r="N28" s="790">
        <f>D28/1000*L28</f>
        <v>0.18658074999999999</v>
      </c>
      <c r="O28" s="396">
        <f t="shared" si="1"/>
        <v>9.3290374999999989E-5</v>
      </c>
      <c r="P28" s="388">
        <v>0.17765</v>
      </c>
      <c r="Q28" s="388" t="s">
        <v>63</v>
      </c>
      <c r="R28" s="773">
        <f>D28/1000*P28</f>
        <v>3.6418249999999999E-2</v>
      </c>
      <c r="S28" s="771">
        <f t="shared" si="2"/>
        <v>1.8209125E-5</v>
      </c>
      <c r="T28" s="1117">
        <f t="shared" si="3"/>
        <v>2.3166114995</v>
      </c>
    </row>
    <row r="29" spans="1:21" ht="19.5" customHeight="1" x14ac:dyDescent="0.25">
      <c r="A29" s="387" t="s">
        <v>714</v>
      </c>
      <c r="B29" s="389" t="s">
        <v>594</v>
      </c>
      <c r="C29" s="388" t="s">
        <v>297</v>
      </c>
      <c r="D29" s="1009">
        <f>'NG, Diesel and Propane totals'!B71</f>
        <v>17705.099999999999</v>
      </c>
      <c r="E29" s="388" t="s">
        <v>287</v>
      </c>
      <c r="F29" s="391">
        <f>0.091*D29</f>
        <v>1611.1640999999997</v>
      </c>
      <c r="G29" s="388" t="s">
        <v>191</v>
      </c>
      <c r="H29" s="773">
        <v>12500</v>
      </c>
      <c r="I29" s="389" t="s">
        <v>63</v>
      </c>
      <c r="J29" s="773">
        <f>H29*D29/1000</f>
        <v>221313.74999999997</v>
      </c>
      <c r="K29" s="773">
        <f t="shared" si="0"/>
        <v>110.65687499999999</v>
      </c>
      <c r="L29" s="388">
        <v>0.595248</v>
      </c>
      <c r="M29" s="388" t="s">
        <v>63</v>
      </c>
      <c r="N29" s="790">
        <f>D29/1000*L29</f>
        <v>10.538925364799999</v>
      </c>
      <c r="O29" s="396">
        <f t="shared" si="1"/>
        <v>5.2694626823999993E-3</v>
      </c>
      <c r="P29" s="388">
        <v>0.110231</v>
      </c>
      <c r="Q29" s="388" t="s">
        <v>63</v>
      </c>
      <c r="R29" s="773">
        <f>D29/1000*P29</f>
        <v>1.9516508780999997</v>
      </c>
      <c r="S29" s="771">
        <f t="shared" si="2"/>
        <v>9.7582543904999985E-4</v>
      </c>
      <c r="T29" s="1117">
        <f t="shared" si="3"/>
        <v>110.66312028812145</v>
      </c>
    </row>
    <row r="30" spans="1:21" ht="19.5" customHeight="1" x14ac:dyDescent="0.25">
      <c r="A30" s="387" t="s">
        <v>298</v>
      </c>
      <c r="B30" s="389" t="s">
        <v>592</v>
      </c>
      <c r="C30" s="388" t="s">
        <v>299</v>
      </c>
      <c r="D30" s="782">
        <f>'Space Heaters'!C12</f>
        <v>12.218891262135923</v>
      </c>
      <c r="E30" s="388" t="s">
        <v>579</v>
      </c>
      <c r="F30" s="391">
        <f>'Federal eGGRT Calcs'!E21</f>
        <v>12585.458000000001</v>
      </c>
      <c r="G30" s="388" t="s">
        <v>191</v>
      </c>
      <c r="H30" s="326">
        <v>120019.65549999999</v>
      </c>
      <c r="I30" s="389" t="s">
        <v>933</v>
      </c>
      <c r="J30" s="773">
        <f>H30*D30</f>
        <v>1466507.1198735135</v>
      </c>
      <c r="K30" s="773">
        <f t="shared" si="0"/>
        <v>733.25355993675669</v>
      </c>
      <c r="L30" s="388">
        <v>2.2707609999999998</v>
      </c>
      <c r="M30" s="388" t="s">
        <v>933</v>
      </c>
      <c r="N30" s="790">
        <f>D30*L30</f>
        <v>27.746181741299029</v>
      </c>
      <c r="O30" s="396">
        <f t="shared" si="1"/>
        <v>1.3873090870649515E-2</v>
      </c>
      <c r="P30" s="388">
        <v>0.22046199999999999</v>
      </c>
      <c r="Q30" s="388" t="s">
        <v>933</v>
      </c>
      <c r="R30" s="773">
        <f>D30*P30</f>
        <v>2.6938012054330098</v>
      </c>
      <c r="S30" s="771">
        <f t="shared" si="2"/>
        <v>1.346900602716505E-3</v>
      </c>
      <c r="T30" s="1117">
        <f t="shared" si="3"/>
        <v>733.26877992823006</v>
      </c>
    </row>
    <row r="31" spans="1:21" ht="19.5" customHeight="1" x14ac:dyDescent="0.25">
      <c r="A31" s="387" t="s">
        <v>300</v>
      </c>
      <c r="B31" s="389" t="s">
        <v>593</v>
      </c>
      <c r="C31" s="388" t="s">
        <v>299</v>
      </c>
      <c r="D31" s="777">
        <f>F31/1028</f>
        <v>11.28921206225681</v>
      </c>
      <c r="E31" s="388" t="s">
        <v>579</v>
      </c>
      <c r="F31" s="1007">
        <f>'NG, Diesel and Propane totals'!C43*0.1</f>
        <v>11605.310000000001</v>
      </c>
      <c r="G31" s="388" t="s">
        <v>191</v>
      </c>
      <c r="H31" s="326">
        <v>120019.7</v>
      </c>
      <c r="I31" s="389" t="s">
        <v>933</v>
      </c>
      <c r="J31" s="773">
        <f>H31*D31</f>
        <v>1354927.8449484436</v>
      </c>
      <c r="K31" s="775">
        <f t="shared" si="0"/>
        <v>677.46392247422182</v>
      </c>
      <c r="L31" s="388">
        <v>2.2707609999999998</v>
      </c>
      <c r="M31" s="388" t="s">
        <v>933</v>
      </c>
      <c r="N31" s="790">
        <f>D31*L31</f>
        <v>25.635102471702336</v>
      </c>
      <c r="O31" s="396">
        <f t="shared" si="1"/>
        <v>1.2817551235851168E-2</v>
      </c>
      <c r="P31" s="388">
        <v>0.22046199999999999</v>
      </c>
      <c r="Q31" s="388" t="s">
        <v>933</v>
      </c>
      <c r="R31" s="773">
        <f>D31*P31</f>
        <v>2.4888422696692607</v>
      </c>
      <c r="S31" s="771">
        <f t="shared" si="2"/>
        <v>1.2444211348346303E-3</v>
      </c>
      <c r="T31" s="1117">
        <f t="shared" si="3"/>
        <v>677.47798444659247</v>
      </c>
    </row>
    <row r="32" spans="1:21" ht="19.5" customHeight="1" thickBot="1" x14ac:dyDescent="0.3">
      <c r="A32" s="398" t="s">
        <v>876</v>
      </c>
      <c r="B32" s="400" t="s">
        <v>283</v>
      </c>
      <c r="C32" s="399" t="s">
        <v>299</v>
      </c>
      <c r="D32" s="778">
        <f>'LNG Facility'!C17</f>
        <v>32.552521185251699</v>
      </c>
      <c r="E32" s="399" t="s">
        <v>579</v>
      </c>
      <c r="F32" s="401">
        <f>'LNG Facility'!C16</f>
        <v>33529.096820809253</v>
      </c>
      <c r="G32" s="399" t="s">
        <v>191</v>
      </c>
      <c r="H32" s="341">
        <v>120019.7</v>
      </c>
      <c r="I32" s="400" t="s">
        <v>933</v>
      </c>
      <c r="J32" s="776">
        <f>H32*D32</f>
        <v>3906943.8268975532</v>
      </c>
      <c r="K32" s="776">
        <f t="shared" si="0"/>
        <v>1953.4719134487766</v>
      </c>
      <c r="L32" s="399">
        <v>2.2707609999999998</v>
      </c>
      <c r="M32" s="399" t="s">
        <v>933</v>
      </c>
      <c r="N32" s="791">
        <f>D32*L32</f>
        <v>73.918995559143326</v>
      </c>
      <c r="O32" s="402">
        <f t="shared" si="1"/>
        <v>3.6959497779571665E-2</v>
      </c>
      <c r="P32" s="399">
        <v>0.22046199999999999</v>
      </c>
      <c r="Q32" s="399" t="s">
        <v>933</v>
      </c>
      <c r="R32" s="776">
        <f>D32*P32</f>
        <v>7.1765939255429601</v>
      </c>
      <c r="S32" s="403">
        <f t="shared" si="2"/>
        <v>3.5882969627714801E-3</v>
      </c>
      <c r="T32" s="1117">
        <f t="shared" si="3"/>
        <v>1953.5124612435191</v>
      </c>
      <c r="U32" s="1118">
        <f>SUM(T16:T32)</f>
        <v>4377.2619287775569</v>
      </c>
    </row>
    <row r="33" spans="1:19" ht="18.75" customHeight="1" thickTop="1" x14ac:dyDescent="0.25">
      <c r="A33" s="404"/>
      <c r="B33" s="404"/>
      <c r="C33" s="405"/>
      <c r="D33" s="406"/>
      <c r="E33" s="405"/>
      <c r="F33" s="407"/>
      <c r="G33" s="1148" t="s">
        <v>938</v>
      </c>
      <c r="H33" s="1148"/>
      <c r="I33" s="1148"/>
      <c r="J33" s="408">
        <f>SUM(J7:J32)</f>
        <v>235026961.71569526</v>
      </c>
      <c r="K33" s="408"/>
      <c r="L33" s="409"/>
      <c r="M33" s="409"/>
      <c r="N33" s="408">
        <f>SUM(N7:N32)</f>
        <v>4795.2586543570978</v>
      </c>
      <c r="O33" s="408"/>
      <c r="P33" s="409"/>
      <c r="Q33" s="408">
        <f>SUM(R7:R32)</f>
        <v>486.74030615871345</v>
      </c>
      <c r="R33" s="410"/>
      <c r="S33" s="411"/>
    </row>
    <row r="34" spans="1:19" ht="18.75" customHeight="1" x14ac:dyDescent="0.25">
      <c r="A34" s="392"/>
      <c r="B34" s="392"/>
      <c r="C34" s="395"/>
      <c r="D34" s="412"/>
      <c r="E34" s="395"/>
      <c r="F34" s="413"/>
      <c r="G34" s="1149" t="s">
        <v>937</v>
      </c>
      <c r="H34" s="1149"/>
      <c r="I34" s="1149"/>
      <c r="J34" s="414">
        <f>SUM(K7:K32)</f>
        <v>117513.48085784764</v>
      </c>
      <c r="K34" s="414"/>
      <c r="L34" s="415"/>
      <c r="M34" s="415"/>
      <c r="N34" s="414">
        <f>SUM(O7:O32)</f>
        <v>2.3976293271785503</v>
      </c>
      <c r="O34" s="414"/>
      <c r="P34" s="415"/>
      <c r="Q34" s="414">
        <f>SUM(S7:S32)</f>
        <v>0.24337015307935672</v>
      </c>
      <c r="R34" s="394"/>
      <c r="S34" s="393"/>
    </row>
    <row r="35" spans="1:19" ht="18.75" customHeight="1" x14ac:dyDescent="0.25">
      <c r="A35" s="392"/>
      <c r="B35" s="392"/>
      <c r="C35" s="395"/>
      <c r="D35" s="412"/>
      <c r="E35" s="395"/>
      <c r="F35" s="413"/>
      <c r="G35" s="416"/>
      <c r="H35" s="416"/>
      <c r="I35" s="416"/>
      <c r="J35" s="414"/>
      <c r="K35" s="414"/>
      <c r="L35" s="415"/>
      <c r="M35" s="415"/>
      <c r="N35" s="414"/>
      <c r="O35" s="414"/>
      <c r="P35" s="415"/>
      <c r="Q35" s="414"/>
      <c r="R35" s="394"/>
      <c r="S35" s="393"/>
    </row>
    <row r="36" spans="1:19" ht="18.75" customHeight="1" x14ac:dyDescent="0.25">
      <c r="A36" s="380" t="s">
        <v>944</v>
      </c>
      <c r="B36" s="392"/>
      <c r="C36" s="392"/>
      <c r="D36" s="412"/>
      <c r="E36" s="395"/>
      <c r="F36" s="417"/>
      <c r="G36" s="395"/>
      <c r="H36" s="395"/>
      <c r="J36" s="394"/>
      <c r="K36" s="395"/>
      <c r="L36" s="395"/>
      <c r="M36" s="395"/>
      <c r="N36" s="394"/>
      <c r="O36" s="395"/>
      <c r="P36" s="395"/>
      <c r="Q36" s="395"/>
      <c r="R36" s="394"/>
      <c r="S36" s="395"/>
    </row>
    <row r="37" spans="1:19" ht="18.75" customHeight="1" x14ac:dyDescent="0.25">
      <c r="A37" s="1008" t="s">
        <v>957</v>
      </c>
      <c r="I37" s="418"/>
      <c r="J37" s="1108"/>
      <c r="K37" s="380"/>
      <c r="O37" s="380"/>
    </row>
    <row r="38" spans="1:19" x14ac:dyDescent="0.25">
      <c r="I38" s="380"/>
      <c r="K38" s="380"/>
      <c r="O38" s="380"/>
    </row>
    <row r="39" spans="1:19" x14ac:dyDescent="0.25">
      <c r="I39" s="380"/>
      <c r="K39" s="380"/>
      <c r="O39" s="380"/>
    </row>
    <row r="40" spans="1:19" x14ac:dyDescent="0.25">
      <c r="I40" s="380"/>
      <c r="K40" s="380"/>
      <c r="O40" s="380"/>
    </row>
    <row r="41" spans="1:19" x14ac:dyDescent="0.25">
      <c r="I41" s="380"/>
      <c r="K41" s="380"/>
      <c r="O41" s="380"/>
    </row>
  </sheetData>
  <mergeCells count="13">
    <mergeCell ref="G33:I33"/>
    <mergeCell ref="G34:I34"/>
    <mergeCell ref="D6:E6"/>
    <mergeCell ref="F6:G6"/>
    <mergeCell ref="A1:S1"/>
    <mergeCell ref="A2:S2"/>
    <mergeCell ref="A3:S3"/>
    <mergeCell ref="H5:K5"/>
    <mergeCell ref="L5:O5"/>
    <mergeCell ref="P5:S5"/>
    <mergeCell ref="H6:I6"/>
    <mergeCell ref="L6:M6"/>
    <mergeCell ref="P6:Q6"/>
  </mergeCells>
  <printOptions horizontalCentered="1"/>
  <pageMargins left="0.7" right="0.7" top="0.75" bottom="0.75" header="0.3" footer="0.3"/>
  <pageSetup scale="3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4"/>
  <sheetViews>
    <sheetView topLeftCell="N40" zoomScale="70" zoomScaleNormal="70" workbookViewId="0">
      <selection activeCell="AE21" sqref="AE21"/>
    </sheetView>
  </sheetViews>
  <sheetFormatPr defaultRowHeight="12.75" x14ac:dyDescent="0.2"/>
  <cols>
    <col min="1" max="1" width="12.28515625" style="4" customWidth="1"/>
    <col min="2" max="2" width="12.85546875" style="4" customWidth="1"/>
    <col min="3" max="3" width="13.140625" style="4" customWidth="1"/>
    <col min="4" max="4" width="12" style="4" customWidth="1"/>
    <col min="5" max="5" width="10.5703125" style="4" customWidth="1"/>
    <col min="6" max="6" width="13.5703125" style="4" customWidth="1"/>
    <col min="7" max="7" width="13.7109375" style="4" customWidth="1"/>
    <col min="8" max="8" width="10.85546875" style="4" customWidth="1"/>
    <col min="9" max="9" width="11.7109375" style="4" customWidth="1"/>
    <col min="10" max="10" width="11.140625" style="4" customWidth="1"/>
    <col min="11" max="11" width="11.5703125" style="4" customWidth="1"/>
    <col min="12" max="12" width="11.140625" style="4" customWidth="1"/>
    <col min="13" max="13" width="14.42578125" style="4" customWidth="1"/>
    <col min="14" max="14" width="9.140625" style="4"/>
    <col min="15" max="15" width="12.42578125" style="4" customWidth="1"/>
    <col min="16" max="16" width="11.5703125" style="4" customWidth="1"/>
    <col min="17" max="17" width="11.28515625" style="4" customWidth="1"/>
    <col min="18" max="18" width="11.42578125" style="4" customWidth="1"/>
    <col min="19" max="19" width="11.85546875" style="4" customWidth="1"/>
    <col min="20" max="20" width="14" style="4" customWidth="1"/>
    <col min="21" max="21" width="9.85546875" style="4" bestFit="1" customWidth="1"/>
    <col min="22" max="22" width="9.140625" style="4"/>
    <col min="23" max="23" width="11.7109375" style="4" customWidth="1"/>
    <col min="24" max="24" width="10.7109375" style="4" customWidth="1"/>
    <col min="25" max="25" width="10.28515625" style="4" customWidth="1"/>
    <col min="26" max="26" width="11.28515625" style="4" customWidth="1"/>
    <col min="27" max="27" width="11" style="4" customWidth="1"/>
    <col min="28" max="28" width="14" style="4" customWidth="1"/>
    <col min="29" max="29" width="10.85546875" style="4" customWidth="1"/>
    <col min="30" max="30" width="14.5703125" style="4" customWidth="1"/>
    <col min="31" max="31" width="10.5703125" style="4" customWidth="1"/>
    <col min="32" max="32" width="12.42578125" style="4" customWidth="1"/>
    <col min="33" max="16384" width="9.140625" style="4"/>
  </cols>
  <sheetData>
    <row r="1" spans="1:32" ht="15" x14ac:dyDescent="0.25">
      <c r="A1" s="1185" t="s">
        <v>111</v>
      </c>
      <c r="B1" s="1185"/>
      <c r="C1" s="1185"/>
      <c r="D1" s="1185"/>
      <c r="E1" s="1185"/>
      <c r="F1" s="1185"/>
      <c r="G1" s="823"/>
      <c r="H1" s="1185" t="s">
        <v>111</v>
      </c>
      <c r="I1" s="1185"/>
      <c r="J1" s="1185"/>
      <c r="K1" s="1185"/>
      <c r="L1" s="1185"/>
      <c r="M1" s="1185"/>
      <c r="N1" s="823"/>
      <c r="O1" s="1185" t="s">
        <v>111</v>
      </c>
      <c r="P1" s="1185"/>
      <c r="Q1" s="1185"/>
      <c r="R1" s="1185"/>
      <c r="S1" s="1185"/>
      <c r="T1" s="1185"/>
      <c r="U1" s="819"/>
      <c r="V1" s="819"/>
      <c r="W1" s="1185" t="s">
        <v>111</v>
      </c>
      <c r="X1" s="1185"/>
      <c r="Y1" s="1185"/>
      <c r="Z1" s="1185"/>
      <c r="AA1" s="1185"/>
      <c r="AB1" s="1185"/>
      <c r="AC1" s="1185"/>
      <c r="AD1" s="1185"/>
      <c r="AE1" s="819"/>
      <c r="AF1" s="819"/>
    </row>
    <row r="2" spans="1:32" ht="15" x14ac:dyDescent="0.25">
      <c r="A2" s="1185" t="s">
        <v>961</v>
      </c>
      <c r="B2" s="1185"/>
      <c r="C2" s="1185"/>
      <c r="D2" s="1185"/>
      <c r="E2" s="1185"/>
      <c r="F2" s="1185"/>
      <c r="G2" s="823"/>
      <c r="H2" s="1185" t="s">
        <v>962</v>
      </c>
      <c r="I2" s="1185"/>
      <c r="J2" s="1185"/>
      <c r="K2" s="1185"/>
      <c r="L2" s="1185"/>
      <c r="M2" s="1185"/>
      <c r="N2" s="823"/>
      <c r="O2" s="1185" t="s">
        <v>963</v>
      </c>
      <c r="P2" s="1185"/>
      <c r="Q2" s="1185"/>
      <c r="R2" s="1185"/>
      <c r="S2" s="1185"/>
      <c r="T2" s="1185"/>
      <c r="U2" s="819"/>
      <c r="V2" s="819"/>
      <c r="W2" s="1185" t="s">
        <v>964</v>
      </c>
      <c r="X2" s="1185"/>
      <c r="Y2" s="1185"/>
      <c r="Z2" s="1185"/>
      <c r="AA2" s="1185"/>
      <c r="AB2" s="1185"/>
      <c r="AC2" s="1185"/>
      <c r="AD2" s="1185"/>
      <c r="AE2" s="819"/>
      <c r="AF2" s="819"/>
    </row>
    <row r="3" spans="1:32" ht="15.75" thickBot="1" x14ac:dyDescent="0.3">
      <c r="A3" s="819"/>
      <c r="B3" s="819"/>
      <c r="C3" s="819"/>
      <c r="D3" s="819"/>
      <c r="E3" s="819"/>
      <c r="F3" s="819"/>
      <c r="G3" s="819"/>
      <c r="H3" s="819"/>
      <c r="I3" s="819"/>
      <c r="J3" s="819"/>
      <c r="K3" s="819"/>
      <c r="L3" s="819"/>
      <c r="M3" s="819"/>
      <c r="N3" s="819"/>
      <c r="O3" s="819"/>
      <c r="P3" s="819"/>
      <c r="Q3" s="819"/>
      <c r="R3" s="819"/>
      <c r="S3" s="819"/>
      <c r="T3" s="819"/>
      <c r="U3" s="819"/>
      <c r="V3" s="819"/>
      <c r="W3" s="819"/>
      <c r="X3" s="819"/>
      <c r="Y3" s="819"/>
      <c r="Z3" s="819"/>
      <c r="AA3" s="819"/>
      <c r="AB3" s="819"/>
      <c r="AC3" s="819"/>
      <c r="AD3" s="819"/>
      <c r="AE3" s="819"/>
      <c r="AF3" s="819"/>
    </row>
    <row r="4" spans="1:32" ht="15" customHeight="1" x14ac:dyDescent="0.25">
      <c r="A4" s="1170" t="s">
        <v>81</v>
      </c>
      <c r="B4" s="1171"/>
      <c r="C4" s="1171"/>
      <c r="D4" s="1171"/>
      <c r="E4" s="1172"/>
      <c r="F4" s="824"/>
      <c r="G4" s="825"/>
      <c r="H4" s="1173" t="s">
        <v>101</v>
      </c>
      <c r="I4" s="1174"/>
      <c r="J4" s="1174"/>
      <c r="K4" s="1174"/>
      <c r="L4" s="1175"/>
      <c r="M4" s="819"/>
      <c r="N4" s="819"/>
      <c r="O4" s="1161" t="s">
        <v>112</v>
      </c>
      <c r="P4" s="1162"/>
      <c r="Q4" s="1162"/>
      <c r="R4" s="1162"/>
      <c r="S4" s="1163"/>
      <c r="T4" s="819"/>
      <c r="U4" s="819"/>
      <c r="V4" s="819"/>
      <c r="W4" s="1186" t="s">
        <v>117</v>
      </c>
      <c r="X4" s="1187"/>
      <c r="Y4" s="1187"/>
      <c r="Z4" s="1187"/>
      <c r="AA4" s="1187"/>
      <c r="AB4" s="1187"/>
      <c r="AC4" s="1187"/>
      <c r="AD4" s="1188"/>
      <c r="AE4" s="819"/>
      <c r="AF4" s="819"/>
    </row>
    <row r="5" spans="1:32" ht="15" customHeight="1" thickBot="1" x14ac:dyDescent="0.3">
      <c r="A5" s="1218" t="s">
        <v>110</v>
      </c>
      <c r="B5" s="1219"/>
      <c r="C5" s="1219"/>
      <c r="D5" s="1219"/>
      <c r="E5" s="1220"/>
      <c r="F5" s="819"/>
      <c r="G5" s="825"/>
      <c r="H5" s="1221" t="s">
        <v>110</v>
      </c>
      <c r="I5" s="1222"/>
      <c r="J5" s="1222"/>
      <c r="K5" s="1222"/>
      <c r="L5" s="1223"/>
      <c r="M5" s="819"/>
      <c r="N5" s="819"/>
      <c r="O5" s="1164" t="s">
        <v>110</v>
      </c>
      <c r="P5" s="1165"/>
      <c r="Q5" s="1165"/>
      <c r="R5" s="1165"/>
      <c r="S5" s="1166"/>
      <c r="T5" s="819"/>
      <c r="U5" s="819"/>
      <c r="V5" s="819"/>
      <c r="W5" s="1189" t="s">
        <v>110</v>
      </c>
      <c r="X5" s="1190"/>
      <c r="Y5" s="1190"/>
      <c r="Z5" s="1190"/>
      <c r="AA5" s="1190"/>
      <c r="AB5" s="1190"/>
      <c r="AC5" s="1190"/>
      <c r="AD5" s="1191"/>
      <c r="AE5" s="819"/>
      <c r="AF5" s="819"/>
    </row>
    <row r="6" spans="1:32" s="276" customFormat="1" ht="41.25" customHeight="1" thickBot="1" x14ac:dyDescent="0.25">
      <c r="A6" s="826" t="s">
        <v>82</v>
      </c>
      <c r="B6" s="827" t="s">
        <v>106</v>
      </c>
      <c r="C6" s="827" t="s">
        <v>108</v>
      </c>
      <c r="D6" s="828" t="s">
        <v>105</v>
      </c>
      <c r="E6" s="829" t="s">
        <v>109</v>
      </c>
      <c r="F6" s="830" t="s">
        <v>230</v>
      </c>
      <c r="G6" s="831"/>
      <c r="H6" s="826" t="s">
        <v>82</v>
      </c>
      <c r="I6" s="827" t="s">
        <v>106</v>
      </c>
      <c r="J6" s="827" t="s">
        <v>108</v>
      </c>
      <c r="K6" s="828" t="s">
        <v>105</v>
      </c>
      <c r="L6" s="829" t="s">
        <v>109</v>
      </c>
      <c r="M6" s="830" t="s">
        <v>230</v>
      </c>
      <c r="N6" s="832"/>
      <c r="O6" s="826" t="s">
        <v>82</v>
      </c>
      <c r="P6" s="827" t="s">
        <v>106</v>
      </c>
      <c r="Q6" s="827" t="s">
        <v>108</v>
      </c>
      <c r="R6" s="828" t="s">
        <v>105</v>
      </c>
      <c r="S6" s="829" t="s">
        <v>109</v>
      </c>
      <c r="T6" s="830" t="s">
        <v>230</v>
      </c>
      <c r="U6" s="832"/>
      <c r="V6" s="832"/>
      <c r="W6" s="833" t="s">
        <v>82</v>
      </c>
      <c r="X6" s="834" t="s">
        <v>106</v>
      </c>
      <c r="Y6" s="834" t="s">
        <v>108</v>
      </c>
      <c r="Z6" s="835" t="s">
        <v>119</v>
      </c>
      <c r="AA6" s="834" t="s">
        <v>105</v>
      </c>
      <c r="AB6" s="834" t="s">
        <v>109</v>
      </c>
      <c r="AC6" s="835" t="s">
        <v>120</v>
      </c>
      <c r="AD6" s="836" t="s">
        <v>453</v>
      </c>
      <c r="AE6" s="906" t="s">
        <v>455</v>
      </c>
      <c r="AF6" s="906" t="s">
        <v>454</v>
      </c>
    </row>
    <row r="7" spans="1:32" ht="15" x14ac:dyDescent="0.25">
      <c r="A7" s="901" t="s">
        <v>83</v>
      </c>
      <c r="B7" s="942"/>
      <c r="C7" s="907"/>
      <c r="D7" s="915"/>
      <c r="E7" s="907"/>
      <c r="F7" s="902">
        <v>743.5</v>
      </c>
      <c r="G7" s="838"/>
      <c r="H7" s="901" t="s">
        <v>83</v>
      </c>
      <c r="I7" s="915"/>
      <c r="J7" s="907"/>
      <c r="K7" s="915"/>
      <c r="L7" s="907"/>
      <c r="M7" s="902">
        <v>407.25</v>
      </c>
      <c r="N7" s="819"/>
      <c r="O7" s="901" t="s">
        <v>83</v>
      </c>
      <c r="P7" s="915"/>
      <c r="Q7" s="907"/>
      <c r="R7" s="915"/>
      <c r="S7" s="907"/>
      <c r="T7" s="902">
        <v>596.75</v>
      </c>
      <c r="U7" s="819"/>
      <c r="V7" s="819"/>
      <c r="W7" s="837" t="s">
        <v>83</v>
      </c>
      <c r="X7" s="936"/>
      <c r="Y7" s="907"/>
      <c r="Z7" s="900"/>
      <c r="AA7" s="915"/>
      <c r="AB7" s="907"/>
      <c r="AC7" s="900"/>
      <c r="AD7" s="941"/>
      <c r="AE7" s="819"/>
      <c r="AF7" s="942">
        <v>728</v>
      </c>
    </row>
    <row r="8" spans="1:32" ht="15" x14ac:dyDescent="0.25">
      <c r="A8" s="839" t="s">
        <v>107</v>
      </c>
      <c r="B8" s="943"/>
      <c r="C8" s="908"/>
      <c r="D8" s="914"/>
      <c r="E8" s="908"/>
      <c r="F8" s="903">
        <v>648.5</v>
      </c>
      <c r="G8" s="838"/>
      <c r="H8" s="839" t="s">
        <v>107</v>
      </c>
      <c r="I8" s="914"/>
      <c r="J8" s="908"/>
      <c r="K8" s="914"/>
      <c r="L8" s="908"/>
      <c r="M8" s="903">
        <v>345.25</v>
      </c>
      <c r="N8" s="819"/>
      <c r="O8" s="839" t="s">
        <v>107</v>
      </c>
      <c r="P8" s="914"/>
      <c r="Q8" s="908"/>
      <c r="R8" s="914"/>
      <c r="S8" s="908"/>
      <c r="T8" s="903">
        <v>424.25</v>
      </c>
      <c r="U8" s="819"/>
      <c r="V8" s="819"/>
      <c r="W8" s="839" t="s">
        <v>107</v>
      </c>
      <c r="X8" s="911"/>
      <c r="Y8" s="908"/>
      <c r="Z8" s="859"/>
      <c r="AA8" s="914"/>
      <c r="AB8" s="908"/>
      <c r="AC8" s="859"/>
      <c r="AD8" s="940"/>
      <c r="AE8" s="819"/>
      <c r="AF8" s="943">
        <v>672</v>
      </c>
    </row>
    <row r="9" spans="1:32" ht="15" x14ac:dyDescent="0.25">
      <c r="A9" s="839" t="s">
        <v>84</v>
      </c>
      <c r="B9" s="943"/>
      <c r="C9" s="908"/>
      <c r="D9" s="914"/>
      <c r="E9" s="908"/>
      <c r="F9" s="903">
        <v>744</v>
      </c>
      <c r="G9" s="838"/>
      <c r="H9" s="839" t="s">
        <v>84</v>
      </c>
      <c r="I9" s="914"/>
      <c r="J9" s="908"/>
      <c r="K9" s="914"/>
      <c r="L9" s="908"/>
      <c r="M9" s="903">
        <v>628.75</v>
      </c>
      <c r="N9" s="819"/>
      <c r="O9" s="839" t="s">
        <v>84</v>
      </c>
      <c r="P9" s="914"/>
      <c r="Q9" s="908"/>
      <c r="R9" s="914"/>
      <c r="S9" s="908"/>
      <c r="T9" s="903">
        <v>1</v>
      </c>
      <c r="U9" s="819"/>
      <c r="V9" s="819"/>
      <c r="W9" s="839" t="s">
        <v>84</v>
      </c>
      <c r="X9" s="911"/>
      <c r="Y9" s="908"/>
      <c r="Z9" s="859"/>
      <c r="AA9" s="914"/>
      <c r="AB9" s="908"/>
      <c r="AC9" s="859"/>
      <c r="AD9" s="940"/>
      <c r="AE9" s="819"/>
      <c r="AF9" s="943">
        <v>744</v>
      </c>
    </row>
    <row r="10" spans="1:32" ht="15" x14ac:dyDescent="0.25">
      <c r="A10" s="839" t="s">
        <v>85</v>
      </c>
      <c r="B10" s="940"/>
      <c r="C10" s="909"/>
      <c r="D10" s="916"/>
      <c r="E10" s="909"/>
      <c r="F10" s="903">
        <v>579.75</v>
      </c>
      <c r="G10" s="838"/>
      <c r="H10" s="839" t="s">
        <v>85</v>
      </c>
      <c r="I10" s="916"/>
      <c r="J10" s="909"/>
      <c r="K10" s="916"/>
      <c r="L10" s="909"/>
      <c r="M10" s="903">
        <v>351.75</v>
      </c>
      <c r="N10" s="819"/>
      <c r="O10" s="839" t="s">
        <v>85</v>
      </c>
      <c r="P10" s="916"/>
      <c r="Q10" s="909"/>
      <c r="R10" s="916"/>
      <c r="S10" s="909"/>
      <c r="T10" s="903">
        <v>280.5</v>
      </c>
      <c r="U10" s="819"/>
      <c r="V10" s="819"/>
      <c r="W10" s="839" t="s">
        <v>85</v>
      </c>
      <c r="X10" s="859"/>
      <c r="Y10" s="909"/>
      <c r="Z10" s="859"/>
      <c r="AA10" s="916"/>
      <c r="AB10" s="909"/>
      <c r="AC10" s="859"/>
      <c r="AD10" s="940"/>
      <c r="AE10" s="819"/>
      <c r="AF10" s="940">
        <v>578</v>
      </c>
    </row>
    <row r="11" spans="1:32" ht="15" x14ac:dyDescent="0.25">
      <c r="A11" s="839" t="s">
        <v>86</v>
      </c>
      <c r="B11" s="940"/>
      <c r="C11" s="909"/>
      <c r="D11" s="916"/>
      <c r="E11" s="909"/>
      <c r="F11" s="903">
        <v>152.25</v>
      </c>
      <c r="G11" s="838"/>
      <c r="H11" s="839" t="s">
        <v>86</v>
      </c>
      <c r="I11" s="916"/>
      <c r="J11" s="909"/>
      <c r="K11" s="916"/>
      <c r="L11" s="909"/>
      <c r="M11" s="903">
        <v>0</v>
      </c>
      <c r="N11" s="819"/>
      <c r="O11" s="839" t="s">
        <v>86</v>
      </c>
      <c r="P11" s="916"/>
      <c r="Q11" s="909"/>
      <c r="R11" s="916"/>
      <c r="S11" s="909"/>
      <c r="T11" s="903">
        <v>0.5</v>
      </c>
      <c r="U11" s="819"/>
      <c r="V11" s="819"/>
      <c r="W11" s="839" t="s">
        <v>86</v>
      </c>
      <c r="X11" s="859"/>
      <c r="Y11" s="909"/>
      <c r="Z11" s="859"/>
      <c r="AA11" s="916"/>
      <c r="AB11" s="909"/>
      <c r="AC11" s="859"/>
      <c r="AD11" s="940"/>
      <c r="AE11" s="819"/>
      <c r="AF11" s="940">
        <v>744</v>
      </c>
    </row>
    <row r="12" spans="1:32" ht="15" x14ac:dyDescent="0.25">
      <c r="A12" s="839" t="s">
        <v>87</v>
      </c>
      <c r="B12" s="940"/>
      <c r="C12" s="909"/>
      <c r="D12" s="916"/>
      <c r="E12" s="909"/>
      <c r="F12" s="903">
        <v>70.75</v>
      </c>
      <c r="G12" s="838"/>
      <c r="H12" s="839" t="s">
        <v>87</v>
      </c>
      <c r="I12" s="916"/>
      <c r="J12" s="909"/>
      <c r="K12" s="916"/>
      <c r="L12" s="909"/>
      <c r="M12" s="903">
        <v>0.5</v>
      </c>
      <c r="N12" s="819"/>
      <c r="O12" s="839" t="s">
        <v>87</v>
      </c>
      <c r="P12" s="916"/>
      <c r="Q12" s="909"/>
      <c r="R12" s="916"/>
      <c r="S12" s="909"/>
      <c r="T12" s="903">
        <v>1.5</v>
      </c>
      <c r="U12" s="819"/>
      <c r="V12" s="819"/>
      <c r="W12" s="839" t="s">
        <v>87</v>
      </c>
      <c r="X12" s="859"/>
      <c r="Y12" s="909"/>
      <c r="Z12" s="911"/>
      <c r="AA12" s="916"/>
      <c r="AB12" s="909"/>
      <c r="AC12" s="859"/>
      <c r="AD12" s="940"/>
      <c r="AE12" s="819"/>
      <c r="AF12" s="940">
        <v>684.75</v>
      </c>
    </row>
    <row r="13" spans="1:32" ht="15" x14ac:dyDescent="0.25">
      <c r="A13" s="839" t="s">
        <v>88</v>
      </c>
      <c r="B13" s="940"/>
      <c r="C13" s="909"/>
      <c r="D13" s="916"/>
      <c r="E13" s="909"/>
      <c r="F13" s="903">
        <v>181.5</v>
      </c>
      <c r="G13" s="838"/>
      <c r="H13" s="839" t="s">
        <v>88</v>
      </c>
      <c r="I13" s="916"/>
      <c r="J13" s="909"/>
      <c r="K13" s="916"/>
      <c r="L13" s="909"/>
      <c r="M13" s="903">
        <v>1</v>
      </c>
      <c r="N13" s="819"/>
      <c r="O13" s="839" t="s">
        <v>88</v>
      </c>
      <c r="P13" s="916"/>
      <c r="Q13" s="909"/>
      <c r="R13" s="916"/>
      <c r="S13" s="909"/>
      <c r="T13" s="903">
        <v>8.25</v>
      </c>
      <c r="U13" s="819"/>
      <c r="V13" s="819"/>
      <c r="W13" s="839" t="s">
        <v>88</v>
      </c>
      <c r="X13" s="859"/>
      <c r="Y13" s="909"/>
      <c r="Z13" s="859"/>
      <c r="AA13" s="916"/>
      <c r="AB13" s="909"/>
      <c r="AC13" s="859"/>
      <c r="AD13" s="940"/>
      <c r="AE13" s="819"/>
      <c r="AF13" s="940">
        <v>711.75</v>
      </c>
    </row>
    <row r="14" spans="1:32" ht="15" x14ac:dyDescent="0.25">
      <c r="A14" s="839" t="s">
        <v>89</v>
      </c>
      <c r="B14" s="940"/>
      <c r="C14" s="909"/>
      <c r="D14" s="916"/>
      <c r="E14" s="909"/>
      <c r="F14" s="903">
        <v>4.25</v>
      </c>
      <c r="G14" s="838"/>
      <c r="H14" s="839" t="s">
        <v>89</v>
      </c>
      <c r="I14" s="916"/>
      <c r="J14" s="909"/>
      <c r="K14" s="916"/>
      <c r="L14" s="909"/>
      <c r="M14" s="903">
        <v>89.5</v>
      </c>
      <c r="N14" s="819"/>
      <c r="O14" s="839" t="s">
        <v>89</v>
      </c>
      <c r="P14" s="916"/>
      <c r="Q14" s="909"/>
      <c r="R14" s="916"/>
      <c r="S14" s="909"/>
      <c r="T14" s="903">
        <v>22.25</v>
      </c>
      <c r="U14" s="819"/>
      <c r="V14" s="819"/>
      <c r="W14" s="839" t="s">
        <v>89</v>
      </c>
      <c r="X14" s="859"/>
      <c r="Y14" s="909"/>
      <c r="Z14" s="859"/>
      <c r="AA14" s="916"/>
      <c r="AB14" s="909"/>
      <c r="AC14" s="859"/>
      <c r="AD14" s="940"/>
      <c r="AE14" s="819"/>
      <c r="AF14" s="940">
        <v>720.25</v>
      </c>
    </row>
    <row r="15" spans="1:32" ht="15" x14ac:dyDescent="0.25">
      <c r="A15" s="839" t="s">
        <v>90</v>
      </c>
      <c r="B15" s="940"/>
      <c r="C15" s="909"/>
      <c r="D15" s="916"/>
      <c r="E15" s="909"/>
      <c r="F15" s="903">
        <v>0.25</v>
      </c>
      <c r="G15" s="838"/>
      <c r="H15" s="839" t="s">
        <v>90</v>
      </c>
      <c r="I15" s="916"/>
      <c r="J15" s="909"/>
      <c r="K15" s="916"/>
      <c r="L15" s="909"/>
      <c r="M15" s="903">
        <v>100.25</v>
      </c>
      <c r="N15" s="819"/>
      <c r="O15" s="839" t="s">
        <v>90</v>
      </c>
      <c r="P15" s="916"/>
      <c r="Q15" s="909"/>
      <c r="R15" s="916"/>
      <c r="S15" s="909"/>
      <c r="T15" s="903">
        <v>6.5</v>
      </c>
      <c r="U15" s="819"/>
      <c r="V15" s="819"/>
      <c r="W15" s="839" t="s">
        <v>90</v>
      </c>
      <c r="X15" s="859"/>
      <c r="Y15" s="909"/>
      <c r="Z15" s="859"/>
      <c r="AA15" s="916"/>
      <c r="AB15" s="909"/>
      <c r="AC15" s="859"/>
      <c r="AD15" s="940"/>
      <c r="AE15" s="819"/>
      <c r="AF15" s="940">
        <v>720</v>
      </c>
    </row>
    <row r="16" spans="1:32" ht="15" x14ac:dyDescent="0.25">
      <c r="A16" s="839" t="s">
        <v>91</v>
      </c>
      <c r="B16" s="940"/>
      <c r="C16" s="909"/>
      <c r="D16" s="916"/>
      <c r="E16" s="909"/>
      <c r="F16" s="903">
        <v>158.5</v>
      </c>
      <c r="G16" s="838"/>
      <c r="H16" s="839" t="s">
        <v>91</v>
      </c>
      <c r="I16" s="916"/>
      <c r="J16" s="909"/>
      <c r="K16" s="916"/>
      <c r="L16" s="909"/>
      <c r="M16" s="903">
        <v>86.5</v>
      </c>
      <c r="N16" s="819"/>
      <c r="O16" s="839" t="s">
        <v>91</v>
      </c>
      <c r="P16" s="916"/>
      <c r="Q16" s="909"/>
      <c r="R16" s="916"/>
      <c r="S16" s="909"/>
      <c r="T16" s="903">
        <v>355.75</v>
      </c>
      <c r="U16" s="819"/>
      <c r="V16" s="819"/>
      <c r="W16" s="839" t="s">
        <v>91</v>
      </c>
      <c r="X16" s="859"/>
      <c r="Y16" s="909"/>
      <c r="Z16" s="859"/>
      <c r="AA16" s="916"/>
      <c r="AB16" s="909"/>
      <c r="AC16" s="859"/>
      <c r="AD16" s="940"/>
      <c r="AE16" s="819"/>
      <c r="AF16" s="940">
        <v>600.75</v>
      </c>
    </row>
    <row r="17" spans="1:32" ht="15" x14ac:dyDescent="0.25">
      <c r="A17" s="839" t="s">
        <v>92</v>
      </c>
      <c r="B17" s="940"/>
      <c r="C17" s="909"/>
      <c r="D17" s="916"/>
      <c r="E17" s="909"/>
      <c r="F17" s="903">
        <v>297.25</v>
      </c>
      <c r="G17" s="838"/>
      <c r="H17" s="839" t="s">
        <v>92</v>
      </c>
      <c r="I17" s="916"/>
      <c r="J17" s="909"/>
      <c r="K17" s="916"/>
      <c r="L17" s="909"/>
      <c r="M17" s="903">
        <v>394.5</v>
      </c>
      <c r="N17" s="819"/>
      <c r="O17" s="839" t="s">
        <v>92</v>
      </c>
      <c r="P17" s="916"/>
      <c r="Q17" s="909"/>
      <c r="R17" s="916"/>
      <c r="S17" s="909"/>
      <c r="T17" s="903">
        <v>503.25</v>
      </c>
      <c r="U17" s="819"/>
      <c r="V17" s="819"/>
      <c r="W17" s="839" t="s">
        <v>92</v>
      </c>
      <c r="X17" s="859"/>
      <c r="Y17" s="909"/>
      <c r="Z17" s="859"/>
      <c r="AA17" s="916"/>
      <c r="AB17" s="909"/>
      <c r="AC17" s="859"/>
      <c r="AD17" s="940"/>
      <c r="AE17" s="819"/>
      <c r="AF17" s="940">
        <v>720</v>
      </c>
    </row>
    <row r="18" spans="1:32" ht="15.75" thickBot="1" x14ac:dyDescent="0.3">
      <c r="A18" s="840" t="s">
        <v>93</v>
      </c>
      <c r="B18" s="940"/>
      <c r="C18" s="921"/>
      <c r="D18" s="922"/>
      <c r="E18" s="927"/>
      <c r="F18" s="904">
        <v>709.75</v>
      </c>
      <c r="G18" s="838"/>
      <c r="H18" s="840" t="s">
        <v>93</v>
      </c>
      <c r="I18" s="922"/>
      <c r="J18" s="921"/>
      <c r="K18" s="922"/>
      <c r="L18" s="927"/>
      <c r="M18" s="904">
        <v>371</v>
      </c>
      <c r="N18" s="819"/>
      <c r="O18" s="840" t="s">
        <v>93</v>
      </c>
      <c r="P18" s="922"/>
      <c r="Q18" s="921"/>
      <c r="R18" s="922"/>
      <c r="S18" s="927"/>
      <c r="T18" s="904">
        <v>316.5</v>
      </c>
      <c r="U18" s="819"/>
      <c r="V18" s="819"/>
      <c r="W18" s="840" t="s">
        <v>93</v>
      </c>
      <c r="X18" s="860"/>
      <c r="Y18" s="921"/>
      <c r="Z18" s="860"/>
      <c r="AA18" s="922"/>
      <c r="AB18" s="921"/>
      <c r="AC18" s="860"/>
      <c r="AD18" s="940"/>
      <c r="AE18" s="819"/>
      <c r="AF18" s="940">
        <v>744</v>
      </c>
    </row>
    <row r="19" spans="1:32" ht="16.5" thickTop="1" thickBot="1" x14ac:dyDescent="0.3">
      <c r="A19" s="841" t="s">
        <v>94</v>
      </c>
      <c r="B19" s="842">
        <v>275599.40000000002</v>
      </c>
      <c r="C19" s="842">
        <v>4093</v>
      </c>
      <c r="D19" s="842">
        <v>106272</v>
      </c>
      <c r="E19" s="843">
        <v>197.25</v>
      </c>
      <c r="F19" s="842">
        <v>4290.25</v>
      </c>
      <c r="G19" s="838"/>
      <c r="H19" s="841" t="s">
        <v>94</v>
      </c>
      <c r="I19" s="842">
        <v>165837.20000000001</v>
      </c>
      <c r="J19" s="955">
        <v>2363</v>
      </c>
      <c r="K19" s="845">
        <v>128949</v>
      </c>
      <c r="L19" s="843">
        <v>413.25</v>
      </c>
      <c r="M19" s="844">
        <v>2776.25</v>
      </c>
      <c r="N19" s="819"/>
      <c r="O19" s="841" t="s">
        <v>94</v>
      </c>
      <c r="P19" s="842">
        <v>159060.20000000001</v>
      </c>
      <c r="Q19" s="842">
        <v>2301.5</v>
      </c>
      <c r="R19" s="845">
        <v>70250</v>
      </c>
      <c r="S19" s="843">
        <v>215.5</v>
      </c>
      <c r="T19" s="844">
        <v>2517</v>
      </c>
      <c r="U19" s="819"/>
      <c r="V19" s="819"/>
      <c r="W19" s="841" t="s">
        <v>94</v>
      </c>
      <c r="X19" s="846">
        <v>955953</v>
      </c>
      <c r="Y19" s="846">
        <v>8198</v>
      </c>
      <c r="Z19" s="937">
        <v>7976</v>
      </c>
      <c r="AA19" s="846">
        <v>121085</v>
      </c>
      <c r="AB19" s="847">
        <v>169.5</v>
      </c>
      <c r="AC19" s="938">
        <v>167</v>
      </c>
      <c r="AD19" s="846">
        <v>303564.7</v>
      </c>
      <c r="AE19" s="938"/>
      <c r="AF19" s="846">
        <v>8367.5</v>
      </c>
    </row>
    <row r="20" spans="1:32" ht="15" x14ac:dyDescent="0.25">
      <c r="A20" s="848"/>
      <c r="B20" s="849"/>
      <c r="C20" s="849"/>
      <c r="D20" s="850"/>
      <c r="E20" s="850"/>
      <c r="F20" s="838"/>
      <c r="G20" s="838"/>
      <c r="H20" s="848"/>
      <c r="I20" s="849"/>
      <c r="J20" s="849"/>
      <c r="K20" s="850"/>
      <c r="L20" s="850"/>
      <c r="M20" s="819"/>
      <c r="N20" s="819"/>
      <c r="O20" s="848"/>
      <c r="P20" s="849"/>
      <c r="Q20" s="849"/>
      <c r="R20" s="850"/>
      <c r="S20" s="850"/>
      <c r="T20" s="819"/>
      <c r="U20" s="819"/>
      <c r="V20" s="819"/>
      <c r="W20" s="819"/>
      <c r="X20" s="819"/>
      <c r="Y20" s="819"/>
      <c r="Z20" s="819"/>
      <c r="AA20" s="819"/>
      <c r="AB20" s="819"/>
      <c r="AC20" s="819"/>
      <c r="AD20" s="889"/>
      <c r="AE20" s="851"/>
      <c r="AF20" s="819"/>
    </row>
    <row r="21" spans="1:32" ht="15.75" thickBot="1" x14ac:dyDescent="0.3">
      <c r="A21" s="852"/>
      <c r="B21" s="849"/>
      <c r="C21" s="849"/>
      <c r="D21" s="849"/>
      <c r="E21" s="850"/>
      <c r="F21" s="853"/>
      <c r="G21" s="853"/>
      <c r="H21" s="819"/>
      <c r="I21" s="819"/>
      <c r="J21" s="819"/>
      <c r="K21" s="819"/>
      <c r="L21" s="819"/>
      <c r="M21" s="819"/>
      <c r="N21" s="819"/>
      <c r="O21" s="819"/>
      <c r="P21" s="819"/>
      <c r="Q21" s="819"/>
      <c r="R21" s="819"/>
      <c r="S21" s="819"/>
      <c r="T21" s="819"/>
      <c r="U21" s="819"/>
      <c r="V21" s="819"/>
      <c r="W21" s="819"/>
      <c r="X21" s="819"/>
      <c r="Y21" s="819"/>
      <c r="Z21" s="819"/>
      <c r="AA21" s="819"/>
      <c r="AB21" s="819"/>
      <c r="AC21" s="819"/>
      <c r="AD21" s="889"/>
      <c r="AE21" s="849">
        <v>303564.7</v>
      </c>
      <c r="AF21" s="820" t="s">
        <v>456</v>
      </c>
    </row>
    <row r="22" spans="1:32" ht="15" x14ac:dyDescent="0.25">
      <c r="A22" s="1170" t="s">
        <v>116</v>
      </c>
      <c r="B22" s="1171"/>
      <c r="C22" s="1171"/>
      <c r="D22" s="1171"/>
      <c r="E22" s="1171"/>
      <c r="F22" s="1172"/>
      <c r="G22" s="819"/>
      <c r="H22" s="1173" t="s">
        <v>104</v>
      </c>
      <c r="I22" s="1174"/>
      <c r="J22" s="1174"/>
      <c r="K22" s="1174"/>
      <c r="L22" s="1174"/>
      <c r="M22" s="1175"/>
      <c r="N22" s="819"/>
      <c r="O22" s="1161" t="s">
        <v>113</v>
      </c>
      <c r="P22" s="1162"/>
      <c r="Q22" s="1162"/>
      <c r="R22" s="1162"/>
      <c r="S22" s="1162"/>
      <c r="T22" s="1163"/>
      <c r="U22" s="819"/>
      <c r="V22" s="819"/>
      <c r="W22" s="1192" t="s">
        <v>123</v>
      </c>
      <c r="X22" s="1193"/>
      <c r="Y22" s="1193"/>
      <c r="Z22" s="1193"/>
      <c r="AA22" s="1193"/>
      <c r="AB22" s="1193"/>
      <c r="AC22" s="1194"/>
      <c r="AD22" s="819"/>
      <c r="AE22" s="819"/>
      <c r="AF22" s="819"/>
    </row>
    <row r="23" spans="1:32" ht="15.75" thickBot="1" x14ac:dyDescent="0.3">
      <c r="A23" s="1176" t="s">
        <v>95</v>
      </c>
      <c r="B23" s="1177"/>
      <c r="C23" s="1177"/>
      <c r="D23" s="1177"/>
      <c r="E23" s="1177"/>
      <c r="F23" s="1178"/>
      <c r="G23" s="850"/>
      <c r="H23" s="1179" t="s">
        <v>95</v>
      </c>
      <c r="I23" s="1180"/>
      <c r="J23" s="1180"/>
      <c r="K23" s="1180"/>
      <c r="L23" s="1180"/>
      <c r="M23" s="1181"/>
      <c r="N23" s="819"/>
      <c r="O23" s="1205" t="s">
        <v>95</v>
      </c>
      <c r="P23" s="1206"/>
      <c r="Q23" s="1206"/>
      <c r="R23" s="1206"/>
      <c r="S23" s="1206"/>
      <c r="T23" s="1207"/>
      <c r="U23" s="819"/>
      <c r="V23" s="819"/>
      <c r="W23" s="1182" t="s">
        <v>95</v>
      </c>
      <c r="X23" s="1183"/>
      <c r="Y23" s="1183"/>
      <c r="Z23" s="1183"/>
      <c r="AA23" s="1183"/>
      <c r="AB23" s="1183"/>
      <c r="AC23" s="1184"/>
      <c r="AD23" s="819"/>
      <c r="AE23" s="819"/>
      <c r="AF23" s="819"/>
    </row>
    <row r="24" spans="1:32" s="276" customFormat="1" ht="30.75" customHeight="1" thickBot="1" x14ac:dyDescent="0.25">
      <c r="A24" s="854"/>
      <c r="B24" s="855" t="s">
        <v>1</v>
      </c>
      <c r="C24" s="855" t="s">
        <v>102</v>
      </c>
      <c r="D24" s="855" t="s">
        <v>12</v>
      </c>
      <c r="E24" s="855" t="s">
        <v>103</v>
      </c>
      <c r="F24" s="856" t="s">
        <v>449</v>
      </c>
      <c r="G24" s="857"/>
      <c r="H24" s="854"/>
      <c r="I24" s="855" t="s">
        <v>1</v>
      </c>
      <c r="J24" s="855" t="s">
        <v>102</v>
      </c>
      <c r="K24" s="855" t="s">
        <v>12</v>
      </c>
      <c r="L24" s="855" t="s">
        <v>103</v>
      </c>
      <c r="M24" s="856" t="s">
        <v>449</v>
      </c>
      <c r="N24" s="832"/>
      <c r="O24" s="854"/>
      <c r="P24" s="855" t="s">
        <v>1</v>
      </c>
      <c r="Q24" s="855" t="s">
        <v>102</v>
      </c>
      <c r="R24" s="855" t="s">
        <v>12</v>
      </c>
      <c r="S24" s="855" t="s">
        <v>103</v>
      </c>
      <c r="T24" s="856" t="s">
        <v>449</v>
      </c>
      <c r="U24" s="832"/>
      <c r="V24" s="832"/>
      <c r="W24" s="858"/>
      <c r="X24" s="890" t="s">
        <v>451</v>
      </c>
      <c r="Y24" s="890" t="s">
        <v>121</v>
      </c>
      <c r="Z24" s="890" t="s">
        <v>102</v>
      </c>
      <c r="AA24" s="890" t="s">
        <v>12</v>
      </c>
      <c r="AB24" s="890" t="s">
        <v>452</v>
      </c>
      <c r="AC24" s="891" t="s">
        <v>122</v>
      </c>
      <c r="AD24" s="892" t="s">
        <v>243</v>
      </c>
      <c r="AE24" s="820"/>
      <c r="AF24" s="832"/>
    </row>
    <row r="25" spans="1:32" ht="15" x14ac:dyDescent="0.25">
      <c r="A25" s="900" t="s">
        <v>96</v>
      </c>
      <c r="B25" s="918"/>
      <c r="C25" s="919"/>
      <c r="D25" s="912"/>
      <c r="E25" s="913"/>
      <c r="F25" s="915"/>
      <c r="G25" s="850"/>
      <c r="H25" s="900" t="s">
        <v>96</v>
      </c>
      <c r="I25" s="918"/>
      <c r="J25" s="919"/>
      <c r="K25" s="912"/>
      <c r="L25" s="913"/>
      <c r="M25" s="915"/>
      <c r="N25" s="819"/>
      <c r="O25" s="900" t="s">
        <v>96</v>
      </c>
      <c r="P25" s="918"/>
      <c r="Q25" s="919"/>
      <c r="R25" s="912"/>
      <c r="S25" s="913"/>
      <c r="T25" s="915"/>
      <c r="U25" s="819"/>
      <c r="V25" s="819"/>
      <c r="W25" s="870" t="s">
        <v>96</v>
      </c>
      <c r="X25" s="913"/>
      <c r="Y25" s="918"/>
      <c r="Z25" s="919"/>
      <c r="AA25" s="912"/>
      <c r="AB25" s="929"/>
      <c r="AC25" s="913"/>
      <c r="AD25" s="900"/>
      <c r="AE25" s="893"/>
      <c r="AF25" s="819"/>
    </row>
    <row r="26" spans="1:32" ht="15" customHeight="1" x14ac:dyDescent="0.25">
      <c r="A26" s="859" t="s">
        <v>97</v>
      </c>
      <c r="B26" s="920"/>
      <c r="C26" s="917"/>
      <c r="D26" s="910"/>
      <c r="E26" s="911"/>
      <c r="F26" s="914"/>
      <c r="G26" s="850"/>
      <c r="H26" s="859" t="s">
        <v>97</v>
      </c>
      <c r="I26" s="920"/>
      <c r="J26" s="917"/>
      <c r="K26" s="910"/>
      <c r="L26" s="911"/>
      <c r="M26" s="914"/>
      <c r="N26" s="819"/>
      <c r="O26" s="859" t="s">
        <v>97</v>
      </c>
      <c r="P26" s="920"/>
      <c r="Q26" s="917"/>
      <c r="R26" s="910"/>
      <c r="S26" s="911"/>
      <c r="T26" s="914"/>
      <c r="U26" s="819"/>
      <c r="V26" s="819"/>
      <c r="W26" s="870" t="s">
        <v>97</v>
      </c>
      <c r="X26" s="911"/>
      <c r="Y26" s="920"/>
      <c r="Z26" s="917"/>
      <c r="AA26" s="910"/>
      <c r="AB26" s="928"/>
      <c r="AC26" s="911"/>
      <c r="AD26" s="859"/>
      <c r="AE26" s="819"/>
      <c r="AF26" s="819"/>
    </row>
    <row r="27" spans="1:32" ht="15" x14ac:dyDescent="0.25">
      <c r="A27" s="859" t="s">
        <v>98</v>
      </c>
      <c r="B27" s="920"/>
      <c r="C27" s="917"/>
      <c r="D27" s="910"/>
      <c r="E27" s="911"/>
      <c r="F27" s="914"/>
      <c r="G27" s="850"/>
      <c r="H27" s="859" t="s">
        <v>98</v>
      </c>
      <c r="I27" s="920"/>
      <c r="J27" s="917"/>
      <c r="K27" s="910"/>
      <c r="L27" s="911"/>
      <c r="M27" s="914"/>
      <c r="N27" s="819"/>
      <c r="O27" s="859" t="s">
        <v>98</v>
      </c>
      <c r="P27" s="920"/>
      <c r="Q27" s="917"/>
      <c r="R27" s="910"/>
      <c r="S27" s="911"/>
      <c r="T27" s="914"/>
      <c r="U27" s="819"/>
      <c r="V27" s="819"/>
      <c r="W27" s="870" t="s">
        <v>98</v>
      </c>
      <c r="X27" s="911"/>
      <c r="Y27" s="920"/>
      <c r="Z27" s="917"/>
      <c r="AA27" s="910"/>
      <c r="AB27" s="928"/>
      <c r="AC27" s="911"/>
      <c r="AD27" s="859"/>
      <c r="AE27" s="819"/>
      <c r="AF27" s="819"/>
    </row>
    <row r="28" spans="1:32" ht="15.75" thickBot="1" x14ac:dyDescent="0.3">
      <c r="A28" s="860" t="s">
        <v>99</v>
      </c>
      <c r="B28" s="821"/>
      <c r="C28" s="821"/>
      <c r="D28" s="926"/>
      <c r="E28" s="925"/>
      <c r="F28" s="924"/>
      <c r="G28" s="850"/>
      <c r="H28" s="860" t="s">
        <v>99</v>
      </c>
      <c r="I28" s="821"/>
      <c r="J28" s="821"/>
      <c r="K28" s="926"/>
      <c r="L28" s="925"/>
      <c r="M28" s="924"/>
      <c r="N28" s="819"/>
      <c r="O28" s="860" t="s">
        <v>99</v>
      </c>
      <c r="P28" s="934"/>
      <c r="Q28" s="821"/>
      <c r="R28" s="926"/>
      <c r="S28" s="925"/>
      <c r="T28" s="924"/>
      <c r="U28" s="819"/>
      <c r="V28" s="819"/>
      <c r="W28" s="871" t="s">
        <v>99</v>
      </c>
      <c r="X28" s="933"/>
      <c r="Y28" s="934"/>
      <c r="Z28" s="821"/>
      <c r="AA28" s="926"/>
      <c r="AB28" s="932"/>
      <c r="AC28" s="925"/>
      <c r="AD28" s="860"/>
      <c r="AE28" s="819"/>
      <c r="AF28" s="819"/>
    </row>
    <row r="29" spans="1:32" ht="16.5" thickTop="1" thickBot="1" x14ac:dyDescent="0.3">
      <c r="A29" s="841" t="s">
        <v>100</v>
      </c>
      <c r="B29" s="955">
        <v>3.94</v>
      </c>
      <c r="C29" s="955">
        <v>51.45</v>
      </c>
      <c r="D29" s="955">
        <v>1441.12</v>
      </c>
      <c r="E29" s="955">
        <v>4093</v>
      </c>
      <c r="F29" s="955">
        <v>275599.40000000002</v>
      </c>
      <c r="G29" s="850"/>
      <c r="H29" s="841" t="s">
        <v>94</v>
      </c>
      <c r="I29" s="861">
        <v>3.1380000000000003</v>
      </c>
      <c r="J29" s="861">
        <v>18.776999999999951</v>
      </c>
      <c r="K29" s="861">
        <v>826.63900000000012</v>
      </c>
      <c r="L29" s="861">
        <v>2363</v>
      </c>
      <c r="M29" s="822">
        <v>165837.20000000004</v>
      </c>
      <c r="N29" s="819"/>
      <c r="O29" s="841" t="s">
        <v>94</v>
      </c>
      <c r="P29" s="955">
        <v>7.2449999999999983</v>
      </c>
      <c r="Q29" s="955">
        <v>25.077999999999946</v>
      </c>
      <c r="R29" s="955">
        <v>791.02500000000055</v>
      </c>
      <c r="S29" s="953">
        <v>2301.5</v>
      </c>
      <c r="T29" s="861">
        <v>159060.20000000001</v>
      </c>
      <c r="U29" s="819"/>
      <c r="V29" s="819"/>
      <c r="W29" s="863" t="s">
        <v>118</v>
      </c>
      <c r="X29" s="822">
        <v>955953.10000000021</v>
      </c>
      <c r="Y29" s="822">
        <v>3624.4890000000005</v>
      </c>
      <c r="Z29" s="822">
        <v>855.78500000000008</v>
      </c>
      <c r="AA29" s="822">
        <v>10115.009999999998</v>
      </c>
      <c r="AB29" s="957">
        <v>296620.3</v>
      </c>
      <c r="AC29" s="953">
        <v>8198</v>
      </c>
      <c r="AD29" s="939">
        <v>7976</v>
      </c>
      <c r="AE29" s="819"/>
      <c r="AF29" s="819"/>
    </row>
    <row r="30" spans="1:32" ht="15" x14ac:dyDescent="0.25">
      <c r="A30" s="848"/>
      <c r="B30" s="852"/>
      <c r="C30" s="852"/>
      <c r="D30" s="852"/>
      <c r="E30" s="852"/>
      <c r="F30" s="852"/>
      <c r="G30" s="850"/>
      <c r="H30" s="848"/>
      <c r="I30" s="852"/>
      <c r="J30" s="852"/>
      <c r="K30" s="852"/>
      <c r="L30" s="852"/>
      <c r="M30" s="864"/>
      <c r="N30" s="819"/>
      <c r="O30" s="848"/>
      <c r="P30" s="852"/>
      <c r="Q30" s="852"/>
      <c r="R30" s="852"/>
      <c r="S30" s="852"/>
      <c r="T30" s="864"/>
      <c r="U30" s="819"/>
      <c r="V30" s="819"/>
      <c r="W30" s="819"/>
      <c r="X30" s="819"/>
      <c r="Y30" s="819"/>
      <c r="Z30" s="819"/>
      <c r="AA30" s="819"/>
      <c r="AB30" s="819"/>
      <c r="AC30" s="819"/>
      <c r="AD30" s="819"/>
      <c r="AE30" s="819"/>
      <c r="AF30" s="819"/>
    </row>
    <row r="31" spans="1:32" ht="15.75" thickBot="1" x14ac:dyDescent="0.3">
      <c r="A31" s="852"/>
      <c r="B31" s="865"/>
      <c r="C31" s="865"/>
      <c r="D31" s="865"/>
      <c r="E31" s="865"/>
      <c r="F31" s="865"/>
      <c r="G31" s="850"/>
      <c r="H31" s="852"/>
      <c r="I31" s="852"/>
      <c r="J31" s="852"/>
      <c r="K31" s="852"/>
      <c r="L31" s="852"/>
      <c r="M31" s="852"/>
      <c r="N31" s="819"/>
      <c r="O31" s="852"/>
      <c r="P31" s="852"/>
      <c r="Q31" s="852"/>
      <c r="R31" s="852"/>
      <c r="S31" s="852"/>
      <c r="T31" s="852"/>
      <c r="U31" s="819"/>
      <c r="V31" s="819"/>
      <c r="W31" s="819"/>
      <c r="X31" s="819"/>
      <c r="Y31" s="819"/>
      <c r="Z31" s="819"/>
      <c r="AA31" s="819"/>
      <c r="AB31" s="819"/>
      <c r="AC31" s="819"/>
      <c r="AD31" s="819"/>
      <c r="AE31" s="819"/>
      <c r="AF31" s="819"/>
    </row>
    <row r="32" spans="1:32" ht="15" x14ac:dyDescent="0.25">
      <c r="A32" s="1170" t="s">
        <v>114</v>
      </c>
      <c r="B32" s="1171"/>
      <c r="C32" s="1171"/>
      <c r="D32" s="1171"/>
      <c r="E32" s="1171"/>
      <c r="F32" s="1172"/>
      <c r="G32" s="850"/>
      <c r="H32" s="1173" t="s">
        <v>115</v>
      </c>
      <c r="I32" s="1174"/>
      <c r="J32" s="1174"/>
      <c r="K32" s="1174"/>
      <c r="L32" s="1174"/>
      <c r="M32" s="1175"/>
      <c r="N32" s="819"/>
      <c r="O32" s="1161" t="s">
        <v>157</v>
      </c>
      <c r="P32" s="1162"/>
      <c r="Q32" s="1162"/>
      <c r="R32" s="1162"/>
      <c r="S32" s="1162"/>
      <c r="T32" s="1163"/>
      <c r="U32" s="819"/>
      <c r="V32" s="819"/>
      <c r="W32" s="1192" t="s">
        <v>124</v>
      </c>
      <c r="X32" s="1193"/>
      <c r="Y32" s="1193"/>
      <c r="Z32" s="1193"/>
      <c r="AA32" s="1193"/>
      <c r="AB32" s="1193"/>
      <c r="AC32" s="1194"/>
      <c r="AD32" s="819"/>
      <c r="AE32" s="819"/>
      <c r="AF32" s="819"/>
    </row>
    <row r="33" spans="1:32" ht="15.75" thickBot="1" x14ac:dyDescent="0.3">
      <c r="A33" s="1176" t="s">
        <v>95</v>
      </c>
      <c r="B33" s="1177"/>
      <c r="C33" s="1177"/>
      <c r="D33" s="1177"/>
      <c r="E33" s="1177"/>
      <c r="F33" s="1178"/>
      <c r="G33" s="850"/>
      <c r="H33" s="1179" t="s">
        <v>95</v>
      </c>
      <c r="I33" s="1180"/>
      <c r="J33" s="1180"/>
      <c r="K33" s="1180"/>
      <c r="L33" s="1180"/>
      <c r="M33" s="1181"/>
      <c r="N33" s="819"/>
      <c r="O33" s="1205" t="s">
        <v>95</v>
      </c>
      <c r="P33" s="1206"/>
      <c r="Q33" s="1206"/>
      <c r="R33" s="1206"/>
      <c r="S33" s="1206"/>
      <c r="T33" s="1207"/>
      <c r="U33" s="819"/>
      <c r="V33" s="819"/>
      <c r="W33" s="1182" t="s">
        <v>95</v>
      </c>
      <c r="X33" s="1183"/>
      <c r="Y33" s="1183"/>
      <c r="Z33" s="1183"/>
      <c r="AA33" s="1183"/>
      <c r="AB33" s="1183"/>
      <c r="AC33" s="1184"/>
      <c r="AD33" s="893"/>
      <c r="AE33" s="893"/>
      <c r="AF33" s="819"/>
    </row>
    <row r="34" spans="1:32" s="276" customFormat="1" ht="31.5" customHeight="1" thickBot="1" x14ac:dyDescent="0.25">
      <c r="A34" s="866"/>
      <c r="B34" s="855" t="s">
        <v>1</v>
      </c>
      <c r="C34" s="855" t="s">
        <v>102</v>
      </c>
      <c r="D34" s="855" t="s">
        <v>12</v>
      </c>
      <c r="E34" s="855" t="s">
        <v>103</v>
      </c>
      <c r="F34" s="856" t="s">
        <v>450</v>
      </c>
      <c r="G34" s="857"/>
      <c r="H34" s="866"/>
      <c r="I34" s="855" t="s">
        <v>1</v>
      </c>
      <c r="J34" s="855" t="s">
        <v>102</v>
      </c>
      <c r="K34" s="855" t="s">
        <v>12</v>
      </c>
      <c r="L34" s="855" t="s">
        <v>103</v>
      </c>
      <c r="M34" s="856" t="s">
        <v>450</v>
      </c>
      <c r="N34" s="832"/>
      <c r="O34" s="866"/>
      <c r="P34" s="855" t="s">
        <v>1</v>
      </c>
      <c r="Q34" s="855" t="s">
        <v>102</v>
      </c>
      <c r="R34" s="855" t="s">
        <v>12</v>
      </c>
      <c r="S34" s="855" t="s">
        <v>103</v>
      </c>
      <c r="T34" s="856" t="s">
        <v>450</v>
      </c>
      <c r="U34" s="905"/>
      <c r="V34" s="832"/>
      <c r="W34" s="867"/>
      <c r="X34" s="868" t="s">
        <v>450</v>
      </c>
      <c r="Y34" s="868" t="s">
        <v>121</v>
      </c>
      <c r="Z34" s="868" t="s">
        <v>102</v>
      </c>
      <c r="AA34" s="868" t="s">
        <v>12</v>
      </c>
      <c r="AB34" s="868" t="s">
        <v>452</v>
      </c>
      <c r="AC34" s="869" t="s">
        <v>122</v>
      </c>
      <c r="AD34" s="892" t="s">
        <v>243</v>
      </c>
      <c r="AE34" s="820"/>
      <c r="AF34" s="832"/>
    </row>
    <row r="35" spans="1:32" ht="15" x14ac:dyDescent="0.25">
      <c r="A35" s="900" t="s">
        <v>96</v>
      </c>
      <c r="B35" s="918"/>
      <c r="C35" s="919"/>
      <c r="D35" s="912"/>
      <c r="E35" s="913"/>
      <c r="F35" s="915"/>
      <c r="G35" s="850"/>
      <c r="H35" s="900" t="s">
        <v>96</v>
      </c>
      <c r="I35" s="918"/>
      <c r="J35" s="919"/>
      <c r="K35" s="912"/>
      <c r="L35" s="913"/>
      <c r="M35" s="915"/>
      <c r="N35" s="819"/>
      <c r="O35" s="900" t="s">
        <v>96</v>
      </c>
      <c r="P35" s="918"/>
      <c r="Q35" s="919"/>
      <c r="R35" s="912"/>
      <c r="S35" s="913"/>
      <c r="T35" s="915"/>
      <c r="U35" s="819"/>
      <c r="V35" s="819"/>
      <c r="W35" s="870" t="s">
        <v>96</v>
      </c>
      <c r="X35" s="930"/>
      <c r="Y35" s="918"/>
      <c r="Z35" s="919"/>
      <c r="AA35" s="912"/>
      <c r="AB35" s="928"/>
      <c r="AC35" s="913"/>
      <c r="AD35" s="859"/>
      <c r="AE35" s="819"/>
      <c r="AF35" s="819"/>
    </row>
    <row r="36" spans="1:32" ht="15" x14ac:dyDescent="0.25">
      <c r="A36" s="859" t="s">
        <v>97</v>
      </c>
      <c r="B36" s="920"/>
      <c r="C36" s="917"/>
      <c r="D36" s="910"/>
      <c r="E36" s="911"/>
      <c r="F36" s="914"/>
      <c r="G36" s="850"/>
      <c r="H36" s="859" t="s">
        <v>97</v>
      </c>
      <c r="I36" s="920"/>
      <c r="J36" s="917"/>
      <c r="K36" s="910"/>
      <c r="L36" s="911"/>
      <c r="M36" s="914"/>
      <c r="N36" s="819"/>
      <c r="O36" s="859" t="s">
        <v>97</v>
      </c>
      <c r="P36" s="920"/>
      <c r="Q36" s="917"/>
      <c r="R36" s="910"/>
      <c r="S36" s="911"/>
      <c r="T36" s="914"/>
      <c r="U36" s="819"/>
      <c r="V36" s="819"/>
      <c r="W36" s="870" t="s">
        <v>97</v>
      </c>
      <c r="X36" s="931"/>
      <c r="Y36" s="920"/>
      <c r="Z36" s="917"/>
      <c r="AA36" s="910"/>
      <c r="AB36" s="928"/>
      <c r="AC36" s="911"/>
      <c r="AD36" s="859"/>
      <c r="AE36" s="819"/>
      <c r="AF36" s="819"/>
    </row>
    <row r="37" spans="1:32" ht="15" x14ac:dyDescent="0.25">
      <c r="A37" s="859" t="s">
        <v>98</v>
      </c>
      <c r="B37" s="920"/>
      <c r="C37" s="917"/>
      <c r="D37" s="910"/>
      <c r="E37" s="911"/>
      <c r="F37" s="914"/>
      <c r="G37" s="850"/>
      <c r="H37" s="859" t="s">
        <v>98</v>
      </c>
      <c r="I37" s="920"/>
      <c r="J37" s="917"/>
      <c r="K37" s="910"/>
      <c r="L37" s="911"/>
      <c r="M37" s="914"/>
      <c r="N37" s="819"/>
      <c r="O37" s="859" t="s">
        <v>98</v>
      </c>
      <c r="P37" s="920"/>
      <c r="Q37" s="917"/>
      <c r="R37" s="910"/>
      <c r="S37" s="911"/>
      <c r="T37" s="914"/>
      <c r="U37" s="819"/>
      <c r="V37" s="819"/>
      <c r="W37" s="870" t="s">
        <v>98</v>
      </c>
      <c r="X37" s="931"/>
      <c r="Y37" s="920"/>
      <c r="Z37" s="917"/>
      <c r="AA37" s="910"/>
      <c r="AB37" s="928"/>
      <c r="AC37" s="911"/>
      <c r="AD37" s="859"/>
      <c r="AE37" s="819"/>
      <c r="AF37" s="819"/>
    </row>
    <row r="38" spans="1:32" ht="15.75" thickBot="1" x14ac:dyDescent="0.3">
      <c r="A38" s="860" t="s">
        <v>99</v>
      </c>
      <c r="B38" s="821"/>
      <c r="C38" s="821"/>
      <c r="D38" s="926"/>
      <c r="E38" s="925"/>
      <c r="F38" s="924"/>
      <c r="G38" s="850"/>
      <c r="H38" s="860" t="s">
        <v>99</v>
      </c>
      <c r="I38" s="821"/>
      <c r="J38" s="821"/>
      <c r="K38" s="926"/>
      <c r="L38" s="925"/>
      <c r="M38" s="924"/>
      <c r="N38" s="819"/>
      <c r="O38" s="860" t="s">
        <v>99</v>
      </c>
      <c r="P38" s="821"/>
      <c r="Q38" s="821"/>
      <c r="R38" s="926"/>
      <c r="S38" s="925"/>
      <c r="T38" s="924"/>
      <c r="U38" s="819"/>
      <c r="V38" s="819"/>
      <c r="W38" s="871" t="s">
        <v>99</v>
      </c>
      <c r="X38" s="933"/>
      <c r="Y38" s="934"/>
      <c r="Z38" s="821"/>
      <c r="AA38" s="926"/>
      <c r="AB38" s="932"/>
      <c r="AC38" s="925"/>
      <c r="AD38" s="860"/>
      <c r="AE38" s="819"/>
      <c r="AF38" s="819"/>
    </row>
    <row r="39" spans="1:32" ht="16.5" thickTop="1" thickBot="1" x14ac:dyDescent="0.3">
      <c r="A39" s="841" t="s">
        <v>94</v>
      </c>
      <c r="B39" s="955">
        <v>7.0000000000000007E-2</v>
      </c>
      <c r="C39" s="955">
        <v>6.82</v>
      </c>
      <c r="D39" s="861">
        <v>150.91</v>
      </c>
      <c r="E39" s="861">
        <v>197.25</v>
      </c>
      <c r="F39" s="862">
        <v>106272</v>
      </c>
      <c r="G39" s="850"/>
      <c r="H39" s="841" t="s">
        <v>94</v>
      </c>
      <c r="I39" s="955">
        <v>0.32</v>
      </c>
      <c r="J39" s="955">
        <v>5.3799999999999866</v>
      </c>
      <c r="K39" s="955">
        <v>284.10799999999995</v>
      </c>
      <c r="L39" s="955">
        <v>413.25</v>
      </c>
      <c r="M39" s="862">
        <v>128949</v>
      </c>
      <c r="N39" s="819"/>
      <c r="O39" s="841" t="s">
        <v>94</v>
      </c>
      <c r="P39" s="955">
        <v>0.43700000000000006</v>
      </c>
      <c r="Q39" s="955">
        <v>3.2449999999999979</v>
      </c>
      <c r="R39" s="955">
        <v>152.77099999999993</v>
      </c>
      <c r="S39" s="861">
        <v>215.5</v>
      </c>
      <c r="T39" s="862">
        <v>70250</v>
      </c>
      <c r="U39" s="819"/>
      <c r="V39" s="819"/>
      <c r="W39" s="872"/>
      <c r="X39" s="822">
        <v>121085</v>
      </c>
      <c r="Y39" s="822">
        <v>68.019000000000005</v>
      </c>
      <c r="Z39" s="822">
        <v>21.185000000000002</v>
      </c>
      <c r="AA39" s="822">
        <v>491.26400000000007</v>
      </c>
      <c r="AB39" s="939">
        <v>6944.4</v>
      </c>
      <c r="AC39" s="954">
        <v>169.5</v>
      </c>
      <c r="AD39" s="939">
        <v>167</v>
      </c>
      <c r="AE39" s="819"/>
      <c r="AF39" s="819"/>
    </row>
    <row r="40" spans="1:32" ht="15" x14ac:dyDescent="0.25">
      <c r="A40" s="819"/>
      <c r="B40" s="819"/>
      <c r="C40" s="819"/>
      <c r="D40" s="819"/>
      <c r="E40" s="819"/>
      <c r="F40" s="819"/>
      <c r="G40" s="873"/>
      <c r="H40" s="820"/>
      <c r="I40" s="820"/>
      <c r="J40" s="820"/>
      <c r="K40" s="820"/>
      <c r="L40" s="820"/>
      <c r="M40" s="874"/>
      <c r="N40" s="851"/>
      <c r="O40" s="820"/>
      <c r="P40" s="820"/>
      <c r="Q40" s="820"/>
      <c r="R40" s="820"/>
      <c r="S40" s="820"/>
      <c r="T40" s="874"/>
      <c r="U40" s="851"/>
      <c r="V40" s="819"/>
      <c r="W40" s="819"/>
      <c r="X40" s="875"/>
      <c r="Y40" s="819"/>
      <c r="Z40" s="819"/>
      <c r="AA40" s="819"/>
      <c r="AB40" s="819"/>
      <c r="AC40" s="819"/>
      <c r="AD40" s="819"/>
      <c r="AE40" s="819"/>
      <c r="AF40" s="819"/>
    </row>
    <row r="41" spans="1:32" ht="15.75" thickBot="1" x14ac:dyDescent="0.3">
      <c r="A41" s="819"/>
      <c r="B41" s="819"/>
      <c r="C41" s="819"/>
      <c r="D41" s="819"/>
      <c r="E41" s="819"/>
      <c r="F41" s="819"/>
      <c r="G41" s="819"/>
      <c r="H41" s="819"/>
      <c r="I41" s="819"/>
      <c r="J41" s="819"/>
      <c r="K41" s="820"/>
      <c r="L41" s="819"/>
      <c r="M41" s="819"/>
      <c r="N41" s="819"/>
      <c r="O41" s="819"/>
      <c r="P41" s="819"/>
      <c r="Q41" s="819"/>
      <c r="R41" s="819"/>
      <c r="S41" s="819"/>
      <c r="T41" s="819"/>
      <c r="U41" s="819"/>
      <c r="V41" s="819"/>
      <c r="W41" s="819"/>
      <c r="X41" s="819"/>
      <c r="Y41" s="819"/>
      <c r="Z41" s="819"/>
      <c r="AA41" s="819"/>
      <c r="AB41" s="819"/>
      <c r="AC41" s="819"/>
      <c r="AD41" s="819"/>
      <c r="AE41" s="819"/>
      <c r="AF41" s="819"/>
    </row>
    <row r="42" spans="1:32" ht="15" x14ac:dyDescent="0.25">
      <c r="A42" s="819"/>
      <c r="B42" s="819"/>
      <c r="C42" s="819"/>
      <c r="D42" s="819"/>
      <c r="E42" s="819"/>
      <c r="F42" s="819"/>
      <c r="G42" s="819"/>
      <c r="H42" s="819"/>
      <c r="I42" s="819"/>
      <c r="J42" s="819"/>
      <c r="K42" s="819"/>
      <c r="L42" s="819"/>
      <c r="M42" s="819"/>
      <c r="N42" s="819"/>
      <c r="O42" s="819"/>
      <c r="P42" s="819"/>
      <c r="Q42" s="819"/>
      <c r="R42" s="819"/>
      <c r="S42" s="819"/>
      <c r="T42" s="819"/>
      <c r="U42" s="819"/>
      <c r="V42" s="819"/>
      <c r="W42" s="819"/>
      <c r="X42" s="1167" t="s">
        <v>965</v>
      </c>
      <c r="Y42" s="1197" t="s">
        <v>686</v>
      </c>
      <c r="Z42" s="1198"/>
      <c r="AA42" s="1198"/>
      <c r="AB42" s="1199"/>
      <c r="AC42" s="1197" t="s">
        <v>687</v>
      </c>
      <c r="AD42" s="1198"/>
      <c r="AE42" s="1198"/>
      <c r="AF42" s="1199"/>
    </row>
    <row r="43" spans="1:32" ht="15.75" thickBot="1" x14ac:dyDescent="0.3">
      <c r="A43" s="1185" t="s">
        <v>161</v>
      </c>
      <c r="B43" s="1185"/>
      <c r="C43" s="1185"/>
      <c r="D43" s="1185"/>
      <c r="E43" s="1185"/>
      <c r="F43" s="1185"/>
      <c r="G43" s="1185"/>
      <c r="H43" s="819"/>
      <c r="I43" s="820"/>
      <c r="J43" s="820"/>
      <c r="K43" s="820"/>
      <c r="L43" s="820"/>
      <c r="M43" s="894"/>
      <c r="N43" s="819"/>
      <c r="O43" s="819"/>
      <c r="P43" s="1051"/>
      <c r="Q43" s="1051"/>
      <c r="R43" s="1051"/>
      <c r="S43" s="1051"/>
      <c r="T43" s="1051"/>
      <c r="U43" s="1051"/>
      <c r="V43" s="819"/>
      <c r="W43" s="819"/>
      <c r="X43" s="1168"/>
      <c r="Y43" s="950" t="s">
        <v>1</v>
      </c>
      <c r="Z43" s="950" t="s">
        <v>102</v>
      </c>
      <c r="AA43" s="950" t="s">
        <v>12</v>
      </c>
      <c r="AB43" s="950" t="s">
        <v>688</v>
      </c>
      <c r="AC43" s="950" t="s">
        <v>1</v>
      </c>
      <c r="AD43" s="950" t="s">
        <v>102</v>
      </c>
      <c r="AE43" s="950" t="s">
        <v>12</v>
      </c>
      <c r="AF43" s="950" t="s">
        <v>688</v>
      </c>
    </row>
    <row r="44" spans="1:32" ht="15.75" thickBot="1" x14ac:dyDescent="0.3">
      <c r="A44" s="819"/>
      <c r="B44" s="1214" t="s">
        <v>81</v>
      </c>
      <c r="C44" s="1215"/>
      <c r="D44" s="1216" t="s">
        <v>101</v>
      </c>
      <c r="E44" s="1217"/>
      <c r="F44" s="1212" t="s">
        <v>112</v>
      </c>
      <c r="G44" s="1213"/>
      <c r="H44" s="819"/>
      <c r="I44" s="894"/>
      <c r="J44" s="820"/>
      <c r="K44" s="820"/>
      <c r="L44" s="820"/>
      <c r="M44" s="894"/>
      <c r="N44" s="819"/>
      <c r="O44" s="819"/>
      <c r="P44" s="1051"/>
      <c r="Q44" s="1051"/>
      <c r="R44" s="1051"/>
      <c r="S44" s="1051"/>
      <c r="T44" s="1093" t="s">
        <v>1013</v>
      </c>
      <c r="U44" s="1051"/>
      <c r="V44" s="819"/>
      <c r="W44" s="819"/>
      <c r="X44" s="1169"/>
      <c r="Y44" s="951" t="s">
        <v>689</v>
      </c>
      <c r="Z44" s="951" t="s">
        <v>689</v>
      </c>
      <c r="AA44" s="951" t="s">
        <v>689</v>
      </c>
      <c r="AB44" s="951" t="s">
        <v>690</v>
      </c>
      <c r="AC44" s="951" t="s">
        <v>689</v>
      </c>
      <c r="AD44" s="951" t="s">
        <v>689</v>
      </c>
      <c r="AE44" s="951" t="s">
        <v>689</v>
      </c>
      <c r="AF44" s="951" t="s">
        <v>690</v>
      </c>
    </row>
    <row r="45" spans="1:32" ht="16.5" customHeight="1" thickBot="1" x14ac:dyDescent="0.3">
      <c r="A45" s="876"/>
      <c r="B45" s="1202" t="s">
        <v>158</v>
      </c>
      <c r="C45" s="1204"/>
      <c r="D45" s="1202" t="s">
        <v>158</v>
      </c>
      <c r="E45" s="1204"/>
      <c r="F45" s="1202" t="s">
        <v>158</v>
      </c>
      <c r="G45" s="1204"/>
      <c r="H45" s="819"/>
      <c r="I45" s="894" t="s">
        <v>238</v>
      </c>
      <c r="J45" s="823"/>
      <c r="K45" s="823"/>
      <c r="L45" s="894"/>
      <c r="M45" s="819"/>
      <c r="N45" s="819"/>
      <c r="O45" s="819"/>
      <c r="P45" s="1094" t="s">
        <v>221</v>
      </c>
      <c r="Q45" s="1051"/>
      <c r="R45" s="1051"/>
      <c r="S45" s="1051"/>
      <c r="T45" s="1051"/>
      <c r="U45" s="1051"/>
      <c r="V45" s="819"/>
      <c r="W45" s="819"/>
      <c r="X45" s="952" t="s">
        <v>691</v>
      </c>
      <c r="Y45" s="955">
        <v>3624.4890000000005</v>
      </c>
      <c r="Z45" s="955">
        <v>855.78500000000008</v>
      </c>
      <c r="AA45" s="955">
        <v>10115.009999999998</v>
      </c>
      <c r="AB45" s="953">
        <v>8198</v>
      </c>
      <c r="AC45" s="955">
        <v>68.019000000000005</v>
      </c>
      <c r="AD45" s="955">
        <v>21.185000000000002</v>
      </c>
      <c r="AE45" s="955">
        <v>491.26400000000007</v>
      </c>
      <c r="AF45" s="954">
        <v>169.5</v>
      </c>
    </row>
    <row r="46" spans="1:32" ht="15.75" thickBot="1" x14ac:dyDescent="0.3">
      <c r="A46" s="877" t="s">
        <v>5</v>
      </c>
      <c r="B46" s="878" t="s">
        <v>30</v>
      </c>
      <c r="C46" s="879" t="s">
        <v>63</v>
      </c>
      <c r="D46" s="878" t="s">
        <v>30</v>
      </c>
      <c r="E46" s="879" t="s">
        <v>63</v>
      </c>
      <c r="F46" s="878" t="s">
        <v>30</v>
      </c>
      <c r="G46" s="879" t="s">
        <v>63</v>
      </c>
      <c r="H46" s="894"/>
      <c r="I46" s="852"/>
      <c r="J46" s="820"/>
      <c r="K46" s="820"/>
      <c r="L46" s="820"/>
      <c r="M46" s="819"/>
      <c r="N46" s="819"/>
      <c r="O46" s="819"/>
      <c r="P46" s="1051"/>
      <c r="Q46" s="1051"/>
      <c r="R46" s="1051"/>
      <c r="S46" s="1051"/>
      <c r="T46" s="1160" t="s">
        <v>81</v>
      </c>
      <c r="U46" s="1160"/>
      <c r="V46" s="819"/>
      <c r="W46" s="819"/>
      <c r="X46" s="819"/>
      <c r="Y46" s="819"/>
      <c r="Z46" s="819"/>
      <c r="AA46" s="819"/>
      <c r="AB46" s="819"/>
      <c r="AC46" s="819"/>
      <c r="AD46" s="819"/>
      <c r="AE46" s="819"/>
      <c r="AF46" s="819"/>
    </row>
    <row r="47" spans="1:32" ht="15" x14ac:dyDescent="0.25">
      <c r="A47" s="880" t="s">
        <v>12</v>
      </c>
      <c r="B47" s="880">
        <v>5.4000000000000003E-3</v>
      </c>
      <c r="C47" s="881">
        <v>0.7254522000000001</v>
      </c>
      <c r="D47" s="882">
        <v>4.0000000000000001E-3</v>
      </c>
      <c r="E47" s="881">
        <v>0.53737199999999996</v>
      </c>
      <c r="F47" s="882">
        <v>4.0000000000000001E-3</v>
      </c>
      <c r="G47" s="881">
        <v>0.53737199999999996</v>
      </c>
      <c r="H47" s="819"/>
      <c r="I47" s="852"/>
      <c r="J47" s="819"/>
      <c r="K47" s="819"/>
      <c r="L47" s="819"/>
      <c r="M47" s="819"/>
      <c r="N47" s="819"/>
      <c r="O47" s="819"/>
      <c r="P47" s="1095" t="s">
        <v>81</v>
      </c>
      <c r="Q47" s="1096">
        <v>24</v>
      </c>
      <c r="R47" s="1097" t="s">
        <v>222</v>
      </c>
      <c r="S47" s="704"/>
      <c r="T47" s="1098" t="s">
        <v>226</v>
      </c>
      <c r="U47" s="1099">
        <v>0.4978730843190956</v>
      </c>
      <c r="V47" s="819"/>
      <c r="W47" s="819"/>
      <c r="X47" s="819"/>
      <c r="Y47" s="1167" t="s">
        <v>965</v>
      </c>
      <c r="Z47" s="1200" t="s">
        <v>686</v>
      </c>
      <c r="AA47" s="1200"/>
      <c r="AB47" s="1200" t="s">
        <v>687</v>
      </c>
      <c r="AC47" s="1201"/>
      <c r="AD47" s="819"/>
      <c r="AE47" s="819"/>
      <c r="AF47" s="819"/>
    </row>
    <row r="48" spans="1:32" ht="15" x14ac:dyDescent="0.25">
      <c r="A48" s="880" t="s">
        <v>73</v>
      </c>
      <c r="B48" s="935">
        <v>4.8163375701185267E-6</v>
      </c>
      <c r="C48" s="881">
        <v>6.470412381824332E-4</v>
      </c>
      <c r="D48" s="882">
        <v>2.0000000000000002E-5</v>
      </c>
      <c r="E48" s="881">
        <v>2.6868600000000001E-3</v>
      </c>
      <c r="F48" s="882">
        <v>2.0000000000000002E-5</v>
      </c>
      <c r="G48" s="881">
        <v>2.6868600000000001E-3</v>
      </c>
      <c r="H48" s="819"/>
      <c r="I48" s="852"/>
      <c r="J48" s="898" t="s">
        <v>580</v>
      </c>
      <c r="K48" s="958">
        <v>136761</v>
      </c>
      <c r="L48" s="820" t="s">
        <v>6</v>
      </c>
      <c r="M48" s="820" t="s">
        <v>966</v>
      </c>
      <c r="N48" s="819"/>
      <c r="O48" s="819"/>
      <c r="P48" s="1095"/>
      <c r="Q48" s="1100">
        <v>6</v>
      </c>
      <c r="R48" s="1101" t="s">
        <v>223</v>
      </c>
      <c r="S48" s="704"/>
      <c r="T48" s="1098" t="s">
        <v>227</v>
      </c>
      <c r="U48" s="1099">
        <v>0.18711030825709457</v>
      </c>
      <c r="V48" s="819"/>
      <c r="W48" s="819"/>
      <c r="X48" s="819"/>
      <c r="Y48" s="1195"/>
      <c r="Z48" s="946" t="s">
        <v>692</v>
      </c>
      <c r="AA48" s="946" t="s">
        <v>243</v>
      </c>
      <c r="AB48" s="946" t="s">
        <v>692</v>
      </c>
      <c r="AC48" s="947" t="s">
        <v>243</v>
      </c>
      <c r="AD48" s="819"/>
      <c r="AE48" s="819"/>
      <c r="AF48" s="819"/>
    </row>
    <row r="49" spans="1:29" ht="15.75" thickBot="1" x14ac:dyDescent="0.3">
      <c r="A49" s="880" t="s">
        <v>2</v>
      </c>
      <c r="B49" s="880">
        <v>1E-4</v>
      </c>
      <c r="C49" s="881">
        <v>1.3434300000000001E-2</v>
      </c>
      <c r="D49" s="882">
        <v>0</v>
      </c>
      <c r="E49" s="881">
        <v>0</v>
      </c>
      <c r="F49" s="882">
        <v>0</v>
      </c>
      <c r="G49" s="881">
        <v>0</v>
      </c>
      <c r="H49" s="895"/>
      <c r="I49" s="852"/>
      <c r="J49" s="898" t="s">
        <v>581</v>
      </c>
      <c r="K49" s="956">
        <v>1030</v>
      </c>
      <c r="L49" s="820" t="s">
        <v>712</v>
      </c>
      <c r="M49" s="819"/>
      <c r="N49" s="819"/>
      <c r="O49" s="819"/>
      <c r="P49" s="1095"/>
      <c r="Q49" s="1100">
        <v>30</v>
      </c>
      <c r="R49" s="1101" t="s">
        <v>224</v>
      </c>
      <c r="S49" s="1102">
        <f>F19</f>
        <v>4290.25</v>
      </c>
      <c r="T49" s="1098" t="s">
        <v>228</v>
      </c>
      <c r="U49" s="1099">
        <v>4.3354116892954958E-2</v>
      </c>
      <c r="V49" s="819"/>
      <c r="W49" s="819"/>
      <c r="X49" s="819"/>
      <c r="Y49" s="1196"/>
      <c r="Z49" s="944" t="s">
        <v>693</v>
      </c>
      <c r="AA49" s="944" t="s">
        <v>690</v>
      </c>
      <c r="AB49" s="944" t="s">
        <v>693</v>
      </c>
      <c r="AC49" s="945" t="s">
        <v>690</v>
      </c>
    </row>
    <row r="50" spans="1:29" ht="15.75" thickBot="1" x14ac:dyDescent="0.3">
      <c r="A50" s="880" t="s">
        <v>855</v>
      </c>
      <c r="B50" s="880">
        <v>1E-4</v>
      </c>
      <c r="C50" s="881">
        <v>1.3434300000000001E-2</v>
      </c>
      <c r="D50" s="882">
        <v>1E-3</v>
      </c>
      <c r="E50" s="881">
        <v>0.13434299999999999</v>
      </c>
      <c r="F50" s="882">
        <v>1E-3</v>
      </c>
      <c r="G50" s="881">
        <v>0.13434299999999999</v>
      </c>
      <c r="H50" s="819"/>
      <c r="I50" s="848"/>
      <c r="J50" s="820"/>
      <c r="K50" s="820"/>
      <c r="L50" s="820"/>
      <c r="M50" s="819"/>
      <c r="N50" s="819"/>
      <c r="O50" s="819"/>
      <c r="P50" s="1095"/>
      <c r="Q50" s="1103">
        <v>7</v>
      </c>
      <c r="R50" s="1104" t="s">
        <v>225</v>
      </c>
      <c r="S50" s="704">
        <f>Q47*Q48*Q49</f>
        <v>4320</v>
      </c>
      <c r="T50" s="1098" t="s">
        <v>229</v>
      </c>
      <c r="U50" s="1099">
        <v>0.27166249053085484</v>
      </c>
      <c r="V50" s="819"/>
      <c r="W50" s="896">
        <f>SUM(U47:U50)</f>
        <v>1</v>
      </c>
      <c r="X50" s="819"/>
      <c r="Y50" s="948" t="s">
        <v>691</v>
      </c>
      <c r="Z50" s="949">
        <v>296620.3</v>
      </c>
      <c r="AA50" s="949">
        <v>7976</v>
      </c>
      <c r="AB50" s="949">
        <v>6944.399999999996</v>
      </c>
      <c r="AC50" s="862">
        <v>167</v>
      </c>
    </row>
    <row r="51" spans="1:29" ht="15" x14ac:dyDescent="0.25">
      <c r="A51" s="880" t="s">
        <v>856</v>
      </c>
      <c r="B51" s="880">
        <v>5.0000000000000001E-3</v>
      </c>
      <c r="C51" s="881">
        <v>0.67171500000000006</v>
      </c>
      <c r="D51" s="882">
        <v>4.0000000000000001E-3</v>
      </c>
      <c r="E51" s="881">
        <v>0.53737199999999996</v>
      </c>
      <c r="F51" s="882">
        <v>4.0000000000000001E-3</v>
      </c>
      <c r="G51" s="881">
        <v>0.53737199999999996</v>
      </c>
      <c r="H51" s="819"/>
      <c r="I51" s="820" t="s">
        <v>713</v>
      </c>
      <c r="J51" s="819"/>
      <c r="K51" s="819"/>
      <c r="L51" s="819"/>
      <c r="M51" s="819"/>
      <c r="N51" s="819"/>
      <c r="O51" s="819"/>
      <c r="P51" s="1095" t="s">
        <v>101</v>
      </c>
      <c r="Q51" s="1096">
        <v>24</v>
      </c>
      <c r="R51" s="1097" t="s">
        <v>222</v>
      </c>
      <c r="S51" s="704"/>
      <c r="T51" s="1051"/>
      <c r="U51" s="1051"/>
      <c r="V51" s="819"/>
      <c r="W51" s="819"/>
      <c r="X51" s="819"/>
      <c r="Y51" s="819"/>
      <c r="Z51" s="819"/>
      <c r="AA51" s="819"/>
      <c r="AB51" s="819"/>
      <c r="AC51" s="819"/>
    </row>
    <row r="52" spans="1:29" ht="15" x14ac:dyDescent="0.25">
      <c r="A52" s="880" t="s">
        <v>4</v>
      </c>
      <c r="B52" s="880">
        <v>2E-3</v>
      </c>
      <c r="C52" s="881">
        <v>0.26868599999999998</v>
      </c>
      <c r="D52" s="882">
        <v>1E-3</v>
      </c>
      <c r="E52" s="881">
        <v>0.13434299999999999</v>
      </c>
      <c r="F52" s="882">
        <v>1E-3</v>
      </c>
      <c r="G52" s="881">
        <v>0.13434299999999999</v>
      </c>
      <c r="H52" s="819"/>
      <c r="I52" s="820" t="s">
        <v>967</v>
      </c>
      <c r="J52" s="819"/>
      <c r="K52" s="819"/>
      <c r="L52" s="819"/>
      <c r="M52" s="819"/>
      <c r="N52" s="819"/>
      <c r="O52" s="819"/>
      <c r="P52" s="1095"/>
      <c r="Q52" s="1100">
        <v>6</v>
      </c>
      <c r="R52" s="1101" t="s">
        <v>223</v>
      </c>
      <c r="S52" s="704"/>
      <c r="T52" s="1160" t="s">
        <v>101</v>
      </c>
      <c r="U52" s="1160"/>
      <c r="V52" s="897"/>
      <c r="W52" s="897"/>
      <c r="X52" s="819"/>
      <c r="Y52" s="819"/>
      <c r="Z52" s="819"/>
      <c r="AA52" s="819"/>
      <c r="AB52" s="819"/>
      <c r="AC52" s="819"/>
    </row>
    <row r="53" spans="1:29" ht="15.75" thickBot="1" x14ac:dyDescent="0.3">
      <c r="A53" s="883" t="s">
        <v>857</v>
      </c>
      <c r="B53" s="883">
        <v>1.6000000000000001E-3</v>
      </c>
      <c r="C53" s="884">
        <v>0.21494880000000002</v>
      </c>
      <c r="D53" s="885">
        <v>1.6000000000000001E-3</v>
      </c>
      <c r="E53" s="884">
        <v>0.21494880000000002</v>
      </c>
      <c r="F53" s="885">
        <v>1.6000000000000001E-3</v>
      </c>
      <c r="G53" s="884">
        <v>0.21494880000000002</v>
      </c>
      <c r="H53" s="819"/>
      <c r="I53" s="819"/>
      <c r="J53" s="819"/>
      <c r="K53" s="819"/>
      <c r="L53" s="819"/>
      <c r="M53" s="819"/>
      <c r="N53" s="819"/>
      <c r="O53" s="819"/>
      <c r="P53" s="1095"/>
      <c r="Q53" s="1100">
        <v>20</v>
      </c>
      <c r="R53" s="1101" t="s">
        <v>224</v>
      </c>
      <c r="S53" s="1102">
        <v>2776.25</v>
      </c>
      <c r="T53" s="1098" t="s">
        <v>226</v>
      </c>
      <c r="U53" s="1105">
        <v>0.49752363800090049</v>
      </c>
      <c r="V53" s="897"/>
      <c r="W53" s="897"/>
      <c r="X53" s="819"/>
      <c r="Y53" s="819"/>
      <c r="Z53" s="819"/>
      <c r="AA53" s="819"/>
      <c r="AB53" s="819"/>
      <c r="AC53" s="819"/>
    </row>
    <row r="54" spans="1:29" ht="15.75" thickBot="1" x14ac:dyDescent="0.3">
      <c r="A54" s="819"/>
      <c r="B54" s="819"/>
      <c r="C54" s="819"/>
      <c r="D54" s="819"/>
      <c r="E54" s="819"/>
      <c r="F54" s="819"/>
      <c r="G54" s="819"/>
      <c r="H54" s="819"/>
      <c r="I54" s="819"/>
      <c r="J54" s="819"/>
      <c r="K54" s="819"/>
      <c r="L54" s="819"/>
      <c r="M54" s="819"/>
      <c r="N54" s="819"/>
      <c r="O54" s="819"/>
      <c r="P54" s="1095"/>
      <c r="Q54" s="1103">
        <v>6</v>
      </c>
      <c r="R54" s="1104" t="s">
        <v>225</v>
      </c>
      <c r="S54" s="704">
        <f>Q51*Q52*Q53</f>
        <v>2880</v>
      </c>
      <c r="T54" s="1098" t="s">
        <v>227</v>
      </c>
      <c r="U54" s="1105">
        <v>0.12687978388113463</v>
      </c>
      <c r="V54" s="897"/>
      <c r="W54" s="897"/>
      <c r="X54" s="819"/>
      <c r="Y54" s="819"/>
      <c r="Z54" s="819"/>
      <c r="AA54" s="819"/>
      <c r="AB54" s="819"/>
      <c r="AC54" s="819"/>
    </row>
    <row r="55" spans="1:29" ht="15" x14ac:dyDescent="0.25">
      <c r="A55" s="820" t="s">
        <v>167</v>
      </c>
      <c r="B55" s="819"/>
      <c r="C55" s="819"/>
      <c r="D55" s="819"/>
      <c r="E55" s="819"/>
      <c r="F55" s="819"/>
      <c r="G55" s="819"/>
      <c r="H55" s="819"/>
      <c r="I55" s="819"/>
      <c r="J55" s="819"/>
      <c r="K55" s="819"/>
      <c r="L55" s="819"/>
      <c r="M55" s="819"/>
      <c r="N55" s="819"/>
      <c r="O55" s="819"/>
      <c r="P55" s="1095" t="s">
        <v>112</v>
      </c>
      <c r="Q55" s="1096">
        <v>24</v>
      </c>
      <c r="R55" s="1097" t="s">
        <v>222</v>
      </c>
      <c r="S55" s="704"/>
      <c r="T55" s="1098" t="s">
        <v>228</v>
      </c>
      <c r="U55" s="1105">
        <v>6.8707789284106258E-2</v>
      </c>
      <c r="V55" s="897"/>
      <c r="W55" s="897"/>
      <c r="X55" s="819"/>
      <c r="Y55" s="819"/>
      <c r="Z55" s="819"/>
      <c r="AA55" s="819"/>
      <c r="AB55" s="819"/>
      <c r="AC55" s="819"/>
    </row>
    <row r="56" spans="1:29" ht="15" x14ac:dyDescent="0.25">
      <c r="A56" s="820" t="s">
        <v>74</v>
      </c>
      <c r="B56" s="819"/>
      <c r="C56" s="819"/>
      <c r="D56" s="819"/>
      <c r="E56" s="819"/>
      <c r="F56" s="819"/>
      <c r="G56" s="819"/>
      <c r="H56" s="819"/>
      <c r="I56" s="819"/>
      <c r="J56" s="819"/>
      <c r="K56" s="819"/>
      <c r="L56" s="819"/>
      <c r="M56" s="819"/>
      <c r="N56" s="819"/>
      <c r="O56" s="819"/>
      <c r="P56" s="1101"/>
      <c r="Q56" s="1100">
        <v>4</v>
      </c>
      <c r="R56" s="1101" t="s">
        <v>223</v>
      </c>
      <c r="S56" s="704"/>
      <c r="T56" s="1098" t="s">
        <v>229</v>
      </c>
      <c r="U56" s="1105">
        <v>0.30688878883385862</v>
      </c>
      <c r="V56" s="897"/>
      <c r="W56" s="896">
        <f>SUM(U53:U56)</f>
        <v>1</v>
      </c>
      <c r="X56" s="819"/>
      <c r="Y56" s="819"/>
      <c r="Z56" s="819"/>
      <c r="AA56" s="819"/>
      <c r="AB56" s="819"/>
      <c r="AC56" s="819"/>
    </row>
    <row r="57" spans="1:29" ht="15" x14ac:dyDescent="0.25">
      <c r="A57" s="820" t="s">
        <v>858</v>
      </c>
      <c r="B57" s="819"/>
      <c r="C57" s="819"/>
      <c r="D57" s="819"/>
      <c r="E57" s="819"/>
      <c r="F57" s="819"/>
      <c r="G57" s="819"/>
      <c r="H57" s="819"/>
      <c r="I57" s="819"/>
      <c r="J57" s="819"/>
      <c r="K57" s="819"/>
      <c r="L57" s="819"/>
      <c r="M57" s="819"/>
      <c r="N57" s="819"/>
      <c r="O57" s="819"/>
      <c r="P57" s="1101"/>
      <c r="Q57" s="1100">
        <v>27</v>
      </c>
      <c r="R57" s="1101" t="s">
        <v>224</v>
      </c>
      <c r="S57" s="1102">
        <v>2517</v>
      </c>
      <c r="T57" s="1051"/>
      <c r="U57" s="1051"/>
      <c r="V57" s="819"/>
      <c r="W57" s="819"/>
      <c r="X57" s="819"/>
      <c r="Y57" s="819"/>
      <c r="Z57" s="819"/>
      <c r="AA57" s="819"/>
      <c r="AB57" s="819"/>
      <c r="AC57" s="819"/>
    </row>
    <row r="58" spans="1:29" ht="15.75" thickBot="1" x14ac:dyDescent="0.3">
      <c r="A58" s="820" t="s">
        <v>859</v>
      </c>
      <c r="B58" s="819"/>
      <c r="C58" s="819"/>
      <c r="D58" s="819"/>
      <c r="E58" s="819"/>
      <c r="F58" s="819"/>
      <c r="G58" s="819"/>
      <c r="H58" s="819"/>
      <c r="I58" s="819"/>
      <c r="J58" s="819"/>
      <c r="K58" s="819"/>
      <c r="L58" s="819"/>
      <c r="M58" s="819"/>
      <c r="N58" s="819"/>
      <c r="O58" s="819"/>
      <c r="P58" s="1101"/>
      <c r="Q58" s="1103">
        <v>1</v>
      </c>
      <c r="R58" s="1104" t="s">
        <v>225</v>
      </c>
      <c r="S58" s="704">
        <f>Q55*Q56*Q57</f>
        <v>2592</v>
      </c>
      <c r="T58" s="1160" t="s">
        <v>112</v>
      </c>
      <c r="U58" s="1160"/>
      <c r="V58" s="819"/>
      <c r="W58" s="819"/>
      <c r="X58" s="819"/>
      <c r="Y58" s="819"/>
      <c r="Z58" s="819"/>
      <c r="AA58" s="819"/>
      <c r="AB58" s="819"/>
      <c r="AC58" s="819"/>
    </row>
    <row r="59" spans="1:29" ht="15" x14ac:dyDescent="0.25">
      <c r="A59" s="819"/>
      <c r="B59" s="819"/>
      <c r="C59" s="819"/>
      <c r="D59" s="819"/>
      <c r="E59" s="819"/>
      <c r="F59" s="819"/>
      <c r="G59" s="819"/>
      <c r="H59" s="819"/>
      <c r="I59" s="819"/>
      <c r="J59" s="819"/>
      <c r="K59" s="819"/>
      <c r="L59" s="819"/>
      <c r="M59" s="819"/>
      <c r="N59" s="819"/>
      <c r="O59" s="819"/>
      <c r="P59" s="704" t="s">
        <v>236</v>
      </c>
      <c r="Q59" s="1096">
        <v>24</v>
      </c>
      <c r="R59" s="1097" t="s">
        <v>222</v>
      </c>
      <c r="S59" s="704"/>
      <c r="T59" s="1098" t="s">
        <v>226</v>
      </c>
      <c r="U59" s="1105">
        <v>0.4060389352403655</v>
      </c>
      <c r="V59" s="819"/>
      <c r="W59" s="819"/>
      <c r="X59" s="819"/>
      <c r="Y59" s="819"/>
      <c r="Z59" s="819"/>
      <c r="AA59" s="819"/>
      <c r="AB59" s="819"/>
      <c r="AC59" s="819"/>
    </row>
    <row r="60" spans="1:29" ht="15.75" thickBot="1" x14ac:dyDescent="0.3">
      <c r="A60" s="1185" t="s">
        <v>162</v>
      </c>
      <c r="B60" s="1185"/>
      <c r="C60" s="1185"/>
      <c r="D60" s="1185"/>
      <c r="E60" s="1185"/>
      <c r="F60" s="1185"/>
      <c r="G60" s="1185"/>
      <c r="H60" s="819"/>
      <c r="I60" s="820"/>
      <c r="J60" s="819"/>
      <c r="K60" s="819"/>
      <c r="L60" s="819"/>
      <c r="M60" s="819"/>
      <c r="N60" s="819"/>
      <c r="O60" s="819"/>
      <c r="P60" s="1051"/>
      <c r="Q60" s="1100">
        <v>7</v>
      </c>
      <c r="R60" s="1101" t="s">
        <v>223</v>
      </c>
      <c r="S60" s="704"/>
      <c r="T60" s="1098" t="s">
        <v>227</v>
      </c>
      <c r="U60" s="1105">
        <v>0.1122367898291617</v>
      </c>
      <c r="V60" s="819"/>
      <c r="W60" s="819"/>
      <c r="X60" s="819"/>
      <c r="Y60" s="819"/>
      <c r="Z60" s="819"/>
      <c r="AA60" s="819"/>
      <c r="AB60" s="819"/>
      <c r="AC60" s="819"/>
    </row>
    <row r="61" spans="1:29" ht="15.75" thickBot="1" x14ac:dyDescent="0.3">
      <c r="A61" s="819"/>
      <c r="B61" s="1209" t="s">
        <v>81</v>
      </c>
      <c r="C61" s="1210"/>
      <c r="D61" s="1211" t="s">
        <v>101</v>
      </c>
      <c r="E61" s="1210"/>
      <c r="F61" s="1212" t="s">
        <v>112</v>
      </c>
      <c r="G61" s="1213"/>
      <c r="H61" s="819"/>
      <c r="I61" s="819"/>
      <c r="J61" s="819"/>
      <c r="K61" s="819"/>
      <c r="L61" s="819"/>
      <c r="M61" s="819"/>
      <c r="N61" s="819"/>
      <c r="O61" s="819"/>
      <c r="P61" s="1051"/>
      <c r="Q61" s="1100">
        <v>50</v>
      </c>
      <c r="R61" s="1101" t="s">
        <v>224</v>
      </c>
      <c r="S61" s="704">
        <v>8367.5</v>
      </c>
      <c r="T61" s="1098" t="s">
        <v>228</v>
      </c>
      <c r="U61" s="1105">
        <v>1.4700039729837107E-2</v>
      </c>
      <c r="V61" s="819"/>
      <c r="W61" s="819"/>
      <c r="X61" s="819"/>
      <c r="Y61" s="819"/>
      <c r="Z61" s="819"/>
      <c r="AA61" s="819"/>
      <c r="AB61" s="819"/>
      <c r="AC61" s="819"/>
    </row>
    <row r="62" spans="1:29" ht="15" customHeight="1" thickBot="1" x14ac:dyDescent="0.3">
      <c r="A62" s="876"/>
      <c r="B62" s="1202" t="s">
        <v>158</v>
      </c>
      <c r="C62" s="1203"/>
      <c r="D62" s="1202" t="s">
        <v>158</v>
      </c>
      <c r="E62" s="1203"/>
      <c r="F62" s="1202" t="s">
        <v>158</v>
      </c>
      <c r="G62" s="1204"/>
      <c r="H62" s="819"/>
      <c r="I62" s="819"/>
      <c r="J62" s="819"/>
      <c r="K62" s="820"/>
      <c r="L62" s="819"/>
      <c r="M62" s="819"/>
      <c r="N62" s="819"/>
      <c r="O62" s="819"/>
      <c r="P62" s="1051"/>
      <c r="Q62" s="1103">
        <v>20</v>
      </c>
      <c r="R62" s="1104" t="s">
        <v>225</v>
      </c>
      <c r="S62" s="704">
        <f>Q61*Q60*Q59</f>
        <v>8400</v>
      </c>
      <c r="T62" s="1098" t="s">
        <v>229</v>
      </c>
      <c r="U62" s="1105">
        <v>0.46702423520063568</v>
      </c>
      <c r="V62" s="819"/>
      <c r="W62" s="896">
        <f>SUM(U59:U62)</f>
        <v>1</v>
      </c>
      <c r="X62" s="819"/>
      <c r="Y62" s="819"/>
      <c r="Z62" s="819"/>
      <c r="AA62" s="819"/>
      <c r="AB62" s="819"/>
      <c r="AC62" s="819"/>
    </row>
    <row r="63" spans="1:29" ht="15.75" thickBot="1" x14ac:dyDescent="0.3">
      <c r="A63" s="877" t="s">
        <v>5</v>
      </c>
      <c r="B63" s="878" t="s">
        <v>30</v>
      </c>
      <c r="C63" s="879" t="s">
        <v>62</v>
      </c>
      <c r="D63" s="878" t="s">
        <v>30</v>
      </c>
      <c r="E63" s="879" t="s">
        <v>62</v>
      </c>
      <c r="F63" s="878" t="s">
        <v>30</v>
      </c>
      <c r="G63" s="879" t="s">
        <v>62</v>
      </c>
      <c r="H63" s="819"/>
      <c r="I63" s="819"/>
      <c r="J63" s="898"/>
      <c r="K63" s="819"/>
      <c r="L63" s="899"/>
      <c r="M63" s="819"/>
      <c r="N63" s="819"/>
      <c r="O63" s="819"/>
      <c r="P63" s="1051"/>
      <c r="Q63" s="1051"/>
      <c r="R63" s="1051"/>
      <c r="S63" s="1051"/>
      <c r="T63" s="1051"/>
      <c r="U63" s="1051"/>
      <c r="V63" s="819"/>
      <c r="W63" s="819"/>
      <c r="X63" s="819"/>
      <c r="Y63" s="819"/>
      <c r="Z63" s="819"/>
      <c r="AA63" s="819"/>
      <c r="AB63" s="819"/>
      <c r="AC63" s="819"/>
    </row>
    <row r="64" spans="1:29" ht="15" x14ac:dyDescent="0.25">
      <c r="A64" s="880" t="s">
        <v>12</v>
      </c>
      <c r="B64" s="880">
        <v>3.0000000000000001E-3</v>
      </c>
      <c r="C64" s="881">
        <v>3.09</v>
      </c>
      <c r="D64" s="880">
        <v>4.0000000000000001E-3</v>
      </c>
      <c r="E64" s="881">
        <v>4.12</v>
      </c>
      <c r="F64" s="880">
        <v>4.0000000000000001E-3</v>
      </c>
      <c r="G64" s="881">
        <v>4.12</v>
      </c>
      <c r="H64" s="819"/>
      <c r="I64" s="819"/>
      <c r="J64" s="819"/>
      <c r="K64" s="819"/>
      <c r="L64" s="899"/>
      <c r="M64" s="819"/>
      <c r="N64" s="819"/>
      <c r="O64" s="819"/>
      <c r="P64" s="1051"/>
      <c r="Q64" s="1051"/>
      <c r="R64" s="1051"/>
      <c r="S64" s="1051"/>
      <c r="T64" s="1160" t="s">
        <v>237</v>
      </c>
      <c r="U64" s="1160"/>
      <c r="V64" s="819"/>
      <c r="W64" s="819"/>
      <c r="X64" s="819"/>
      <c r="Y64" s="819"/>
      <c r="Z64" s="819"/>
      <c r="AA64" s="819"/>
      <c r="AB64" s="819"/>
      <c r="AC64" s="819"/>
    </row>
    <row r="65" spans="1:23" ht="15" x14ac:dyDescent="0.25">
      <c r="A65" s="880" t="s">
        <v>73</v>
      </c>
      <c r="B65" s="935">
        <v>1.387972077750025E-5</v>
      </c>
      <c r="C65" s="881">
        <v>1.4296112400825258E-2</v>
      </c>
      <c r="D65" s="880">
        <v>1.0000000000000001E-5</v>
      </c>
      <c r="E65" s="881">
        <v>1.03E-2</v>
      </c>
      <c r="F65" s="880">
        <v>1.0000000000000001E-5</v>
      </c>
      <c r="G65" s="881">
        <v>1.03E-2</v>
      </c>
      <c r="H65" s="819"/>
      <c r="I65" s="819"/>
      <c r="J65" s="819"/>
      <c r="K65" s="819"/>
      <c r="L65" s="819"/>
      <c r="M65" s="819"/>
      <c r="N65" s="819"/>
      <c r="O65" s="819"/>
      <c r="P65" s="1051"/>
      <c r="Q65" s="1051"/>
      <c r="R65" s="1051"/>
      <c r="S65" s="1051"/>
      <c r="T65" s="1098" t="s">
        <v>226</v>
      </c>
      <c r="U65" s="1105">
        <v>0.25622945921720947</v>
      </c>
      <c r="V65" s="819"/>
      <c r="W65" s="819"/>
    </row>
    <row r="66" spans="1:23" ht="15" x14ac:dyDescent="0.25">
      <c r="A66" s="880" t="s">
        <v>2</v>
      </c>
      <c r="B66" s="886">
        <v>1.6000000000000001E-3</v>
      </c>
      <c r="C66" s="881">
        <v>1.6480000000000001</v>
      </c>
      <c r="D66" s="886">
        <v>2E-3</v>
      </c>
      <c r="E66" s="881">
        <v>2.06</v>
      </c>
      <c r="F66" s="880">
        <v>2E-3</v>
      </c>
      <c r="G66" s="881">
        <v>2.06</v>
      </c>
      <c r="H66" s="819"/>
      <c r="I66" s="819"/>
      <c r="J66" s="819"/>
      <c r="K66" s="819"/>
      <c r="L66" s="819"/>
      <c r="M66" s="819"/>
      <c r="N66" s="819"/>
      <c r="O66" s="819"/>
      <c r="P66" s="1051"/>
      <c r="Q66" s="1051"/>
      <c r="R66" s="1051"/>
      <c r="S66" s="1051"/>
      <c r="T66" s="1098" t="s">
        <v>227</v>
      </c>
      <c r="U66" s="1105">
        <v>0.2398267104870033</v>
      </c>
      <c r="V66" s="819"/>
      <c r="W66" s="819"/>
    </row>
    <row r="67" spans="1:23" ht="15" x14ac:dyDescent="0.25">
      <c r="A67" s="880" t="s">
        <v>855</v>
      </c>
      <c r="B67" s="880">
        <v>1E-3</v>
      </c>
      <c r="C67" s="881">
        <v>1.03</v>
      </c>
      <c r="D67" s="880">
        <v>0</v>
      </c>
      <c r="E67" s="881">
        <v>0</v>
      </c>
      <c r="F67" s="880">
        <v>0</v>
      </c>
      <c r="G67" s="881">
        <v>0</v>
      </c>
      <c r="H67" s="819"/>
      <c r="I67" s="819"/>
      <c r="J67" s="819"/>
      <c r="K67" s="819"/>
      <c r="L67" s="819"/>
      <c r="M67" s="819"/>
      <c r="N67" s="819"/>
      <c r="O67" s="819"/>
      <c r="P67" s="1051"/>
      <c r="Q67" s="1051"/>
      <c r="R67" s="1051"/>
      <c r="S67" s="1051"/>
      <c r="T67" s="1098" t="s">
        <v>228</v>
      </c>
      <c r="U67" s="1105">
        <v>0.25718553928891547</v>
      </c>
      <c r="V67" s="819"/>
      <c r="W67" s="819"/>
    </row>
    <row r="68" spans="1:23" ht="15" x14ac:dyDescent="0.25">
      <c r="A68" s="880" t="s">
        <v>856</v>
      </c>
      <c r="B68" s="880">
        <v>0.01</v>
      </c>
      <c r="C68" s="881">
        <v>10.3</v>
      </c>
      <c r="D68" s="880">
        <v>6.0000000000000001E-3</v>
      </c>
      <c r="E68" s="881">
        <v>6.18</v>
      </c>
      <c r="F68" s="880">
        <v>6.0000000000000001E-3</v>
      </c>
      <c r="G68" s="881">
        <v>6.18</v>
      </c>
      <c r="H68" s="819"/>
      <c r="I68" s="819"/>
      <c r="J68" s="819"/>
      <c r="K68" s="819"/>
      <c r="L68" s="819"/>
      <c r="M68" s="819"/>
      <c r="N68" s="819"/>
      <c r="O68" s="819"/>
      <c r="P68" s="1051"/>
      <c r="Q68" s="1051"/>
      <c r="R68" s="1051"/>
      <c r="S68" s="1051"/>
      <c r="T68" s="1098" t="s">
        <v>229</v>
      </c>
      <c r="U68" s="1105">
        <v>0.24675829100687183</v>
      </c>
      <c r="V68" s="819"/>
      <c r="W68" s="896">
        <f>SUM(U65:U68)</f>
        <v>1</v>
      </c>
    </row>
    <row r="69" spans="1:23" ht="15" x14ac:dyDescent="0.25">
      <c r="A69" s="880" t="s">
        <v>4</v>
      </c>
      <c r="B69" s="880">
        <v>3.0000000000000001E-3</v>
      </c>
      <c r="C69" s="881">
        <v>3.09</v>
      </c>
      <c r="D69" s="887" t="s">
        <v>168</v>
      </c>
      <c r="E69" s="888" t="s">
        <v>168</v>
      </c>
      <c r="F69" s="880" t="s">
        <v>168</v>
      </c>
      <c r="G69" s="888" t="s">
        <v>168</v>
      </c>
      <c r="H69" s="819"/>
      <c r="I69" s="819"/>
      <c r="J69" s="819"/>
      <c r="K69" s="819"/>
      <c r="L69" s="819"/>
      <c r="M69" s="819"/>
      <c r="N69" s="819"/>
      <c r="O69" s="819"/>
      <c r="P69" s="819"/>
      <c r="Q69" s="819"/>
      <c r="R69" s="819"/>
      <c r="S69" s="819"/>
      <c r="T69" s="819"/>
      <c r="U69" s="819"/>
      <c r="V69" s="819"/>
      <c r="W69" s="819"/>
    </row>
    <row r="70" spans="1:23" ht="15.75" thickBot="1" x14ac:dyDescent="0.3">
      <c r="A70" s="883" t="s">
        <v>857</v>
      </c>
      <c r="B70" s="883">
        <v>5.9999999999999995E-4</v>
      </c>
      <c r="C70" s="884">
        <v>0.61799999999999999</v>
      </c>
      <c r="D70" s="883">
        <v>5.9999999999999995E-4</v>
      </c>
      <c r="E70" s="884">
        <v>0.61799999999999999</v>
      </c>
      <c r="F70" s="883">
        <v>5.9999999999999995E-4</v>
      </c>
      <c r="G70" s="884">
        <v>0.61799999999999999</v>
      </c>
      <c r="H70" s="819"/>
      <c r="I70" s="819"/>
      <c r="J70" s="819"/>
      <c r="K70" s="819"/>
      <c r="L70" s="819"/>
      <c r="M70" s="819"/>
      <c r="N70" s="819"/>
      <c r="O70" s="819"/>
      <c r="P70" s="819"/>
      <c r="Q70" s="819"/>
      <c r="R70" s="819"/>
      <c r="S70" s="819"/>
      <c r="T70" s="1208"/>
      <c r="U70" s="1208"/>
      <c r="V70" s="819"/>
      <c r="W70" s="819"/>
    </row>
    <row r="71" spans="1:23" ht="15" x14ac:dyDescent="0.25">
      <c r="A71" s="819"/>
      <c r="B71" s="819"/>
      <c r="C71" s="819"/>
      <c r="D71" s="819"/>
      <c r="E71" s="819"/>
      <c r="F71" s="819"/>
      <c r="G71" s="819"/>
      <c r="H71" s="819"/>
      <c r="I71" s="819"/>
      <c r="J71" s="819"/>
      <c r="K71" s="819"/>
      <c r="L71" s="819"/>
      <c r="M71" s="819"/>
      <c r="N71" s="819"/>
      <c r="O71" s="819"/>
      <c r="P71" s="819"/>
      <c r="Q71" s="819"/>
      <c r="R71" s="819"/>
      <c r="S71" s="819"/>
      <c r="T71" s="898"/>
      <c r="U71" s="923"/>
      <c r="V71" s="819"/>
      <c r="W71" s="819"/>
    </row>
    <row r="72" spans="1:23" ht="15" x14ac:dyDescent="0.25">
      <c r="A72" s="820" t="s">
        <v>167</v>
      </c>
      <c r="B72" s="819"/>
      <c r="C72" s="819"/>
      <c r="D72" s="819"/>
      <c r="E72" s="819"/>
      <c r="F72" s="819"/>
      <c r="G72" s="819"/>
      <c r="H72" s="819"/>
      <c r="I72" s="819"/>
      <c r="J72" s="819"/>
      <c r="K72" s="819"/>
      <c r="L72" s="819"/>
      <c r="M72" s="819"/>
      <c r="N72" s="819"/>
      <c r="O72" s="819"/>
      <c r="P72" s="819"/>
      <c r="Q72" s="819"/>
      <c r="R72" s="819"/>
      <c r="S72" s="819"/>
      <c r="T72" s="898"/>
      <c r="U72" s="923"/>
      <c r="V72" s="819"/>
      <c r="W72" s="819"/>
    </row>
    <row r="73" spans="1:23" ht="15" x14ac:dyDescent="0.25">
      <c r="A73" s="820" t="s">
        <v>74</v>
      </c>
      <c r="B73" s="819"/>
      <c r="C73" s="819"/>
      <c r="D73" s="819"/>
      <c r="E73" s="819"/>
      <c r="F73" s="819"/>
      <c r="G73" s="819"/>
      <c r="H73" s="819"/>
      <c r="I73" s="819"/>
      <c r="J73" s="819"/>
      <c r="K73" s="819"/>
      <c r="L73" s="819"/>
      <c r="M73" s="819"/>
      <c r="N73" s="819"/>
      <c r="O73" s="819"/>
      <c r="P73" s="819"/>
      <c r="Q73" s="819"/>
      <c r="R73" s="819"/>
      <c r="S73" s="819"/>
      <c r="T73" s="898"/>
      <c r="U73" s="923"/>
      <c r="V73" s="819"/>
      <c r="W73" s="819"/>
    </row>
    <row r="74" spans="1:23" ht="15" x14ac:dyDescent="0.25">
      <c r="A74" s="819"/>
      <c r="B74" s="819"/>
      <c r="C74" s="819"/>
      <c r="D74" s="819"/>
      <c r="E74" s="819"/>
      <c r="F74" s="819"/>
      <c r="G74" s="819"/>
      <c r="H74" s="819"/>
      <c r="I74" s="819"/>
      <c r="J74" s="819"/>
      <c r="K74" s="819"/>
      <c r="L74" s="819"/>
      <c r="M74" s="819"/>
      <c r="N74" s="819"/>
      <c r="O74" s="819"/>
      <c r="P74" s="819"/>
      <c r="Q74" s="819"/>
      <c r="R74" s="819"/>
      <c r="S74" s="819"/>
      <c r="T74" s="898"/>
      <c r="U74" s="923"/>
      <c r="V74" s="819"/>
      <c r="W74" s="819"/>
    </row>
  </sheetData>
  <mergeCells count="57">
    <mergeCell ref="T52:U52"/>
    <mergeCell ref="T58:U58"/>
    <mergeCell ref="A60:G60"/>
    <mergeCell ref="A1:F1"/>
    <mergeCell ref="A2:F2"/>
    <mergeCell ref="H1:M1"/>
    <mergeCell ref="H2:M2"/>
    <mergeCell ref="A22:F22"/>
    <mergeCell ref="A5:E5"/>
    <mergeCell ref="H5:L5"/>
    <mergeCell ref="O2:T2"/>
    <mergeCell ref="O1:T1"/>
    <mergeCell ref="O22:T22"/>
    <mergeCell ref="O23:T23"/>
    <mergeCell ref="D45:E45"/>
    <mergeCell ref="F45:G45"/>
    <mergeCell ref="B62:C62"/>
    <mergeCell ref="D62:E62"/>
    <mergeCell ref="F62:G62"/>
    <mergeCell ref="O33:T33"/>
    <mergeCell ref="T70:U70"/>
    <mergeCell ref="A33:F33"/>
    <mergeCell ref="B61:C61"/>
    <mergeCell ref="D61:E61"/>
    <mergeCell ref="F61:G61"/>
    <mergeCell ref="B44:C44"/>
    <mergeCell ref="D44:E44"/>
    <mergeCell ref="F44:G44"/>
    <mergeCell ref="A43:G43"/>
    <mergeCell ref="H33:M33"/>
    <mergeCell ref="T64:U64"/>
    <mergeCell ref="B45:C45"/>
    <mergeCell ref="Y47:Y49"/>
    <mergeCell ref="W32:AC32"/>
    <mergeCell ref="W33:AC33"/>
    <mergeCell ref="Y42:AB42"/>
    <mergeCell ref="AC42:AF42"/>
    <mergeCell ref="AB47:AC47"/>
    <mergeCell ref="Z47:AA47"/>
    <mergeCell ref="W1:AD1"/>
    <mergeCell ref="W2:AD2"/>
    <mergeCell ref="W4:AD4"/>
    <mergeCell ref="W5:AD5"/>
    <mergeCell ref="W22:AC22"/>
    <mergeCell ref="T46:U46"/>
    <mergeCell ref="O4:S4"/>
    <mergeCell ref="O5:S5"/>
    <mergeCell ref="X42:X44"/>
    <mergeCell ref="A32:F32"/>
    <mergeCell ref="H32:M32"/>
    <mergeCell ref="O32:T32"/>
    <mergeCell ref="A4:E4"/>
    <mergeCell ref="H4:L4"/>
    <mergeCell ref="A23:F23"/>
    <mergeCell ref="H22:M22"/>
    <mergeCell ref="H23:M23"/>
    <mergeCell ref="W23:AC23"/>
  </mergeCells>
  <pageMargins left="0.7" right="0.7" top="0.75" bottom="0.75" header="0.3" footer="0.3"/>
  <pageSetup scale="43" fitToWidth="2" fitToHeight="2" orientation="portrait" r:id="rId1"/>
  <colBreaks count="1" manualBreakCount="1">
    <brk id="14" max="7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topLeftCell="A3" zoomScale="70" zoomScaleNormal="70" workbookViewId="0">
      <selection activeCell="B9" sqref="B9"/>
    </sheetView>
  </sheetViews>
  <sheetFormatPr defaultRowHeight="15" x14ac:dyDescent="0.25"/>
  <cols>
    <col min="1" max="1" width="10" customWidth="1"/>
    <col min="2" max="2" width="10.85546875" customWidth="1"/>
    <col min="3" max="3" width="10.28515625" customWidth="1"/>
    <col min="4" max="4" width="11.7109375" customWidth="1"/>
    <col min="5" max="5" width="11.140625" customWidth="1"/>
    <col min="7" max="7" width="11.28515625" customWidth="1"/>
    <col min="8" max="8" width="12.5703125" customWidth="1"/>
    <col min="9" max="9" width="9.7109375" customWidth="1"/>
  </cols>
  <sheetData>
    <row r="1" spans="1:18" ht="15.75" x14ac:dyDescent="0.25">
      <c r="A1" s="1125" t="s">
        <v>443</v>
      </c>
      <c r="B1" s="1125"/>
      <c r="C1" s="1125"/>
      <c r="D1" s="1125"/>
      <c r="E1" s="1125"/>
      <c r="F1" s="1125"/>
      <c r="G1" s="1125"/>
      <c r="H1" s="1125"/>
      <c r="I1" s="1125"/>
      <c r="J1" s="259"/>
      <c r="K1" s="259"/>
      <c r="L1" s="259"/>
      <c r="M1" s="259"/>
      <c r="N1" s="259"/>
      <c r="O1" s="259"/>
      <c r="P1" s="259"/>
      <c r="Q1" s="259"/>
      <c r="R1" s="259"/>
    </row>
    <row r="2" spans="1:18" ht="15.75" x14ac:dyDescent="0.25">
      <c r="A2" s="1224" t="s">
        <v>1014</v>
      </c>
      <c r="B2" s="1224"/>
      <c r="C2" s="1224"/>
      <c r="D2" s="1224"/>
      <c r="E2" s="1224"/>
      <c r="F2" s="1224"/>
      <c r="G2" s="1224"/>
      <c r="H2" s="1224"/>
      <c r="I2" s="1224"/>
      <c r="J2" s="279"/>
      <c r="K2" s="279"/>
      <c r="L2" s="279"/>
      <c r="M2" s="279"/>
      <c r="N2" s="279"/>
      <c r="O2" s="279"/>
      <c r="P2" s="279"/>
      <c r="Q2" s="279"/>
      <c r="R2" s="279"/>
    </row>
    <row r="3" spans="1:18" ht="15.75" x14ac:dyDescent="0.25">
      <c r="A3" s="1125" t="s">
        <v>441</v>
      </c>
      <c r="B3" s="1125"/>
      <c r="C3" s="1125"/>
      <c r="D3" s="1125"/>
      <c r="E3" s="1125"/>
      <c r="F3" s="1125"/>
      <c r="G3" s="1125"/>
      <c r="H3" s="1125"/>
      <c r="I3" s="1125"/>
      <c r="J3" s="259"/>
      <c r="K3" s="259"/>
      <c r="L3" s="259"/>
      <c r="M3" s="259"/>
      <c r="N3" s="259"/>
      <c r="O3" s="259"/>
      <c r="P3" s="259"/>
      <c r="Q3" s="259"/>
      <c r="R3" s="259"/>
    </row>
    <row r="4" spans="1:18" x14ac:dyDescent="0.25">
      <c r="D4" s="9"/>
      <c r="H4" s="168"/>
    </row>
    <row r="5" spans="1:18" x14ac:dyDescent="0.25">
      <c r="A5" s="8" t="s">
        <v>27</v>
      </c>
    </row>
    <row r="6" spans="1:18" x14ac:dyDescent="0.25">
      <c r="A6" s="8"/>
    </row>
    <row r="7" spans="1:18" x14ac:dyDescent="0.25">
      <c r="A7" s="1" t="s">
        <v>17</v>
      </c>
      <c r="E7" s="1" t="s">
        <v>18</v>
      </c>
    </row>
    <row r="8" spans="1:18" x14ac:dyDescent="0.25">
      <c r="A8" t="s">
        <v>14</v>
      </c>
      <c r="B8" s="2">
        <f>'CHP Fuel Use, CEMS Data'!AA19</f>
        <v>121085</v>
      </c>
      <c r="C8" t="s">
        <v>0</v>
      </c>
      <c r="D8" s="147">
        <f>B8*138643/1000000</f>
        <v>16787.587654999999</v>
      </c>
      <c r="E8" t="s">
        <v>20</v>
      </c>
      <c r="F8">
        <f>'CHP Fuel Use, CEMS Data'!AB39/1000</f>
        <v>6.9443999999999999</v>
      </c>
      <c r="G8" t="s">
        <v>10</v>
      </c>
      <c r="H8" s="2">
        <f>SUM(F8*'CHP Fuel Use, CEMS Data'!K49)</f>
        <v>7152.732</v>
      </c>
      <c r="I8" t="s">
        <v>51</v>
      </c>
      <c r="J8" s="147"/>
    </row>
    <row r="9" spans="1:18" x14ac:dyDescent="0.25">
      <c r="A9" t="s">
        <v>15</v>
      </c>
      <c r="B9">
        <f>'CHP Fuel Use, CEMS Data'!X19/1000</f>
        <v>955.95299999999997</v>
      </c>
      <c r="C9" t="s">
        <v>10</v>
      </c>
      <c r="E9" t="s">
        <v>19</v>
      </c>
      <c r="F9" s="18">
        <f>'CHP Fuel Use, CEMS Data'!Z50/1000</f>
        <v>296.62029999999999</v>
      </c>
      <c r="G9" t="s">
        <v>10</v>
      </c>
    </row>
    <row r="10" spans="1:18" x14ac:dyDescent="0.25">
      <c r="A10" t="s">
        <v>16</v>
      </c>
      <c r="B10">
        <v>131.96</v>
      </c>
      <c r="C10" t="s">
        <v>9</v>
      </c>
      <c r="E10" t="s">
        <v>16</v>
      </c>
      <c r="F10">
        <v>87.84</v>
      </c>
      <c r="G10" t="s">
        <v>9</v>
      </c>
      <c r="K10" s="670"/>
    </row>
    <row r="12" spans="1:18" x14ac:dyDescent="0.25">
      <c r="A12" t="s">
        <v>22</v>
      </c>
      <c r="D12" s="25">
        <f>'CHP Fuel Use, CEMS Data'!AB19</f>
        <v>169.5</v>
      </c>
      <c r="E12" t="s">
        <v>13</v>
      </c>
      <c r="G12" t="s">
        <v>192</v>
      </c>
      <c r="H12" s="2">
        <f>'CHP Fuel Use, CEMS Data'!K48</f>
        <v>136761</v>
      </c>
      <c r="I12" t="s">
        <v>193</v>
      </c>
    </row>
    <row r="13" spans="1:18" x14ac:dyDescent="0.25">
      <c r="A13" t="s">
        <v>21</v>
      </c>
      <c r="D13" s="25">
        <f>'CHP Fuel Use, CEMS Data'!AD39</f>
        <v>167</v>
      </c>
      <c r="E13" t="s">
        <v>13</v>
      </c>
    </row>
    <row r="14" spans="1:18" x14ac:dyDescent="0.25">
      <c r="A14" t="s">
        <v>23</v>
      </c>
      <c r="D14">
        <f>D12-D13</f>
        <v>2.5</v>
      </c>
      <c r="E14" t="s">
        <v>13</v>
      </c>
      <c r="G14" t="s">
        <v>1049</v>
      </c>
      <c r="H14" s="578">
        <f>H12*B8/1000000</f>
        <v>16559.705685000001</v>
      </c>
      <c r="I14" t="s">
        <v>1050</v>
      </c>
    </row>
    <row r="16" spans="1:18" x14ac:dyDescent="0.25">
      <c r="A16" s="17" t="s">
        <v>24</v>
      </c>
    </row>
    <row r="18" spans="1:9" x14ac:dyDescent="0.25">
      <c r="A18" s="663" t="s">
        <v>1052</v>
      </c>
      <c r="E18" s="2">
        <f>(B8*D14)/D12</f>
        <v>1785.914454277286</v>
      </c>
      <c r="F18" t="s">
        <v>25</v>
      </c>
    </row>
    <row r="19" spans="1:9" x14ac:dyDescent="0.25">
      <c r="E19" s="2">
        <f>B8-E18</f>
        <v>119299.08554572272</v>
      </c>
      <c r="F19" t="s">
        <v>52</v>
      </c>
      <c r="H19" s="13">
        <f>SUM(E19*H12/10^6)</f>
        <v>16315.462238318585</v>
      </c>
      <c r="I19" t="s">
        <v>51</v>
      </c>
    </row>
    <row r="20" spans="1:9" x14ac:dyDescent="0.25">
      <c r="A20" t="s">
        <v>64</v>
      </c>
      <c r="H20" s="2">
        <f>H8+H19</f>
        <v>23468.194238318585</v>
      </c>
      <c r="I20" t="s">
        <v>51</v>
      </c>
    </row>
    <row r="22" spans="1:9" x14ac:dyDescent="0.25">
      <c r="A22" s="8" t="s">
        <v>46</v>
      </c>
      <c r="G22" s="9"/>
    </row>
    <row r="23" spans="1:9" x14ac:dyDescent="0.25">
      <c r="D23" s="3" t="s">
        <v>32</v>
      </c>
      <c r="E23" s="3" t="s">
        <v>38</v>
      </c>
      <c r="G23" s="167" t="s">
        <v>189</v>
      </c>
      <c r="H23" s="167" t="s">
        <v>194</v>
      </c>
      <c r="I23" s="170" t="s">
        <v>39</v>
      </c>
    </row>
    <row r="24" spans="1:9" x14ac:dyDescent="0.25">
      <c r="A24" s="9" t="s">
        <v>5</v>
      </c>
      <c r="B24" s="3" t="s">
        <v>3</v>
      </c>
      <c r="D24" s="3" t="s">
        <v>53</v>
      </c>
      <c r="E24" s="3" t="s">
        <v>7</v>
      </c>
      <c r="G24" s="170" t="s">
        <v>190</v>
      </c>
      <c r="H24" s="170" t="s">
        <v>190</v>
      </c>
      <c r="I24" s="170" t="s">
        <v>7</v>
      </c>
    </row>
    <row r="25" spans="1:9" x14ac:dyDescent="0.25">
      <c r="A25" s="11"/>
      <c r="B25" s="12" t="s">
        <v>28</v>
      </c>
      <c r="C25" s="12" t="s">
        <v>29</v>
      </c>
      <c r="D25" s="12" t="s">
        <v>54</v>
      </c>
      <c r="E25" s="12" t="s">
        <v>37</v>
      </c>
      <c r="G25" s="171" t="s">
        <v>188</v>
      </c>
      <c r="H25" s="171" t="s">
        <v>191</v>
      </c>
      <c r="I25" s="171" t="s">
        <v>37</v>
      </c>
    </row>
    <row r="26" spans="1:9" x14ac:dyDescent="0.25">
      <c r="A26" s="10" t="s">
        <v>12</v>
      </c>
      <c r="B26" s="148">
        <f>2000*E26/$H$20</f>
        <v>2.093318280099583E-2</v>
      </c>
      <c r="C26" s="10" t="s">
        <v>30</v>
      </c>
      <c r="D26" s="13">
        <f>SUM($H$8+$H$19)</f>
        <v>23468.194238318585</v>
      </c>
      <c r="E26" s="14">
        <f>'CHP Fuel Use, CEMS Data'!AA39/2000</f>
        <v>0.24563200000000004</v>
      </c>
      <c r="F26" s="10"/>
      <c r="G26" s="167">
        <v>2229.6</v>
      </c>
      <c r="H26" s="172">
        <f>G26*$H$12/1000</f>
        <v>304922.32559999998</v>
      </c>
      <c r="I26" s="173">
        <f>B26*H26/2000</f>
        <v>3.191497390944785</v>
      </c>
    </row>
    <row r="27" spans="1:9" x14ac:dyDescent="0.25">
      <c r="A27" s="10" t="s">
        <v>1</v>
      </c>
      <c r="B27" s="148">
        <f>2000*E27/$H$20</f>
        <v>2.8983482627282587E-3</v>
      </c>
      <c r="C27" s="10" t="s">
        <v>30</v>
      </c>
      <c r="D27" s="13">
        <f t="shared" ref="D27:D32" si="0">SUM($H$8+$H$19)</f>
        <v>23468.194238318585</v>
      </c>
      <c r="E27" s="14">
        <f>'CHP Fuel Use, CEMS Data'!Y39/2000</f>
        <v>3.4009500000000005E-2</v>
      </c>
      <c r="F27" s="10"/>
      <c r="G27" s="167">
        <v>2229.6</v>
      </c>
      <c r="H27" s="172">
        <f t="shared" ref="H27:H32" si="1">G27*$H$12/1000</f>
        <v>304922.32559999998</v>
      </c>
      <c r="I27" s="173">
        <f t="shared" ref="I27:I32" si="2">B27*H27/2000</f>
        <v>0.44188554633491023</v>
      </c>
    </row>
    <row r="28" spans="1:9" x14ac:dyDescent="0.25">
      <c r="A28" s="10" t="s">
        <v>2</v>
      </c>
      <c r="B28" s="148">
        <v>5.0000000000000001E-4</v>
      </c>
      <c r="C28" s="10" t="s">
        <v>30</v>
      </c>
      <c r="D28" s="13">
        <f t="shared" si="0"/>
        <v>23468.194238318585</v>
      </c>
      <c r="E28" s="14">
        <f>SUM(B28*D28/2000)</f>
        <v>5.8670485595796462E-3</v>
      </c>
      <c r="F28" s="10"/>
      <c r="G28" s="167">
        <v>2229.6</v>
      </c>
      <c r="H28" s="172">
        <f t="shared" si="1"/>
        <v>304922.32559999998</v>
      </c>
      <c r="I28" s="173">
        <f t="shared" si="2"/>
        <v>7.6230581399999997E-2</v>
      </c>
    </row>
    <row r="29" spans="1:9" ht="18" x14ac:dyDescent="0.35">
      <c r="A29" s="10" t="s">
        <v>57</v>
      </c>
      <c r="B29" s="148">
        <f>2000*E29/$H$20</f>
        <v>9.0271112403737439E-4</v>
      </c>
      <c r="C29" s="10" t="s">
        <v>30</v>
      </c>
      <c r="D29" s="13">
        <f t="shared" si="0"/>
        <v>23468.194238318585</v>
      </c>
      <c r="E29" s="14">
        <f>'CHP Fuel Use, CEMS Data'!Z39/2000</f>
        <v>1.0592500000000001E-2</v>
      </c>
      <c r="F29" s="10"/>
      <c r="G29" s="167">
        <v>2229.6</v>
      </c>
      <c r="H29" s="172">
        <f t="shared" si="1"/>
        <v>304922.32559999998</v>
      </c>
      <c r="I29" s="815">
        <f t="shared" si="2"/>
        <v>0.13762838764323312</v>
      </c>
    </row>
    <row r="30" spans="1:9" ht="18" x14ac:dyDescent="0.35">
      <c r="A30" s="810" t="s">
        <v>49</v>
      </c>
      <c r="B30" s="811">
        <v>4.3E-3</v>
      </c>
      <c r="C30" s="810" t="s">
        <v>30</v>
      </c>
      <c r="D30" s="812">
        <f t="shared" si="0"/>
        <v>23468.194238318585</v>
      </c>
      <c r="E30" s="813">
        <f>SUM(B30*D30/2000)</f>
        <v>5.0456617612384957E-2</v>
      </c>
      <c r="F30" s="810"/>
      <c r="G30" s="167">
        <v>2229.6</v>
      </c>
      <c r="H30" s="172">
        <f t="shared" si="1"/>
        <v>304922.32559999998</v>
      </c>
      <c r="I30" s="173">
        <f t="shared" si="2"/>
        <v>0.65558300004000003</v>
      </c>
    </row>
    <row r="31" spans="1:9" x14ac:dyDescent="0.25">
      <c r="A31" s="10" t="s">
        <v>50</v>
      </c>
      <c r="B31" s="148">
        <v>4.3E-3</v>
      </c>
      <c r="C31" s="10" t="s">
        <v>30</v>
      </c>
      <c r="D31" s="13">
        <f t="shared" si="0"/>
        <v>23468.194238318585</v>
      </c>
      <c r="E31" s="14">
        <f>SUM(B31*D31/2000)</f>
        <v>5.0456617612384957E-2</v>
      </c>
      <c r="F31" s="10"/>
      <c r="G31" s="167">
        <v>2229.6</v>
      </c>
      <c r="H31" s="172">
        <f t="shared" si="1"/>
        <v>304922.32559999998</v>
      </c>
      <c r="I31" s="173">
        <f t="shared" si="2"/>
        <v>0.65558300004000003</v>
      </c>
    </row>
    <row r="32" spans="1:9" x14ac:dyDescent="0.25">
      <c r="A32" s="10" t="s">
        <v>59</v>
      </c>
      <c r="B32" s="148">
        <v>1.6000000000000001E-3</v>
      </c>
      <c r="C32" s="10" t="s">
        <v>30</v>
      </c>
      <c r="D32" s="13">
        <f t="shared" si="0"/>
        <v>23468.194238318585</v>
      </c>
      <c r="E32" s="21">
        <f>(E19*7.13*0.000015*2/2000)+(0.8/100)*(1/7000)*F8*(2/2000)*1000000</f>
        <v>2.0695494341972188E-2</v>
      </c>
      <c r="F32" s="10"/>
      <c r="G32" s="167">
        <v>2229.6</v>
      </c>
      <c r="H32" s="172">
        <f t="shared" si="1"/>
        <v>304922.32559999998</v>
      </c>
      <c r="I32" s="173">
        <f t="shared" si="2"/>
        <v>0.24393786047999999</v>
      </c>
    </row>
    <row r="33" spans="1:9" x14ac:dyDescent="0.25">
      <c r="A33" s="10"/>
      <c r="B33" s="10"/>
      <c r="C33" s="10"/>
      <c r="D33" s="13"/>
      <c r="E33" s="10"/>
      <c r="F33" s="10"/>
      <c r="G33" s="14"/>
    </row>
    <row r="34" spans="1:9" x14ac:dyDescent="0.25">
      <c r="A34" s="15" t="s">
        <v>959</v>
      </c>
      <c r="B34" s="10"/>
      <c r="C34" s="10"/>
      <c r="D34" s="13"/>
      <c r="E34" s="10"/>
      <c r="F34" s="10"/>
      <c r="G34" s="14"/>
    </row>
    <row r="35" spans="1:9" s="720" customFormat="1" x14ac:dyDescent="0.25">
      <c r="A35" s="741" t="s">
        <v>960</v>
      </c>
      <c r="B35" s="721"/>
      <c r="C35" s="721"/>
      <c r="D35" s="13"/>
      <c r="E35" s="721"/>
      <c r="F35" s="721"/>
      <c r="G35" s="14"/>
    </row>
    <row r="36" spans="1:9" x14ac:dyDescent="0.25">
      <c r="A36" s="15" t="s">
        <v>65</v>
      </c>
    </row>
    <row r="37" spans="1:9" x14ac:dyDescent="0.25">
      <c r="A37" s="15" t="s">
        <v>1053</v>
      </c>
    </row>
    <row r="38" spans="1:9" x14ac:dyDescent="0.25">
      <c r="A38" s="15"/>
    </row>
    <row r="39" spans="1:9" x14ac:dyDescent="0.25">
      <c r="A39" s="16" t="s">
        <v>47</v>
      </c>
      <c r="D39" s="15" t="s">
        <v>70</v>
      </c>
    </row>
    <row r="40" spans="1:9" x14ac:dyDescent="0.25">
      <c r="E40" s="3" t="s">
        <v>38</v>
      </c>
      <c r="G40" s="167" t="s">
        <v>189</v>
      </c>
      <c r="H40" s="167" t="s">
        <v>194</v>
      </c>
      <c r="I40" s="170" t="s">
        <v>39</v>
      </c>
    </row>
    <row r="41" spans="1:9" x14ac:dyDescent="0.25">
      <c r="A41" s="9" t="s">
        <v>5</v>
      </c>
      <c r="B41" s="3" t="s">
        <v>3</v>
      </c>
      <c r="D41" s="3" t="s">
        <v>32</v>
      </c>
      <c r="E41" s="3" t="s">
        <v>7</v>
      </c>
      <c r="G41" s="170" t="s">
        <v>190</v>
      </c>
      <c r="H41" s="170" t="s">
        <v>190</v>
      </c>
      <c r="I41" s="170" t="s">
        <v>7</v>
      </c>
    </row>
    <row r="42" spans="1:9" x14ac:dyDescent="0.25">
      <c r="A42" s="11"/>
      <c r="B42" s="12" t="s">
        <v>28</v>
      </c>
      <c r="C42" s="12" t="s">
        <v>29</v>
      </c>
      <c r="D42" s="12" t="s">
        <v>33</v>
      </c>
      <c r="E42" s="12" t="s">
        <v>37</v>
      </c>
      <c r="G42" s="171" t="s">
        <v>188</v>
      </c>
      <c r="H42" s="171" t="s">
        <v>191</v>
      </c>
      <c r="I42" s="171" t="s">
        <v>37</v>
      </c>
    </row>
    <row r="43" spans="1:9" x14ac:dyDescent="0.25">
      <c r="A43" s="10" t="s">
        <v>2</v>
      </c>
      <c r="B43" s="10">
        <v>4.1999999999999997E-3</v>
      </c>
      <c r="C43" s="10" t="s">
        <v>30</v>
      </c>
      <c r="D43" s="13">
        <f>$E$18</f>
        <v>1785.914454277286</v>
      </c>
      <c r="E43" s="14">
        <f>SUM(B43*H12*D43/10^6/2000)</f>
        <v>5.1291123803097341E-4</v>
      </c>
      <c r="F43" s="10"/>
      <c r="G43" s="167">
        <v>2229.6</v>
      </c>
      <c r="H43" s="172">
        <f>G43*$H$12/1000</f>
        <v>304922.32559999998</v>
      </c>
      <c r="I43" s="173">
        <f>B43*H43/2000</f>
        <v>0.64033688375999998</v>
      </c>
    </row>
    <row r="44" spans="1:9" ht="18" x14ac:dyDescent="0.35">
      <c r="A44" s="10" t="s">
        <v>26</v>
      </c>
      <c r="B44" s="10">
        <v>4.3E-3</v>
      </c>
      <c r="C44" s="10" t="s">
        <v>30</v>
      </c>
      <c r="D44" s="13">
        <f>$E$18</f>
        <v>1785.914454277286</v>
      </c>
      <c r="E44" s="14">
        <f>SUM(B44*H12*D44/10^6/2000)</f>
        <v>5.2512341036504431E-4</v>
      </c>
      <c r="F44" s="10"/>
      <c r="G44" s="167">
        <v>2229.6</v>
      </c>
      <c r="H44" s="172">
        <f>G44*$H$12/1000</f>
        <v>304922.32559999998</v>
      </c>
      <c r="I44" s="173">
        <f>B44*H44/2000</f>
        <v>0.65558300004000003</v>
      </c>
    </row>
    <row r="45" spans="1:9" x14ac:dyDescent="0.25">
      <c r="A45" s="10" t="s">
        <v>4</v>
      </c>
      <c r="B45" s="10">
        <v>4.3E-3</v>
      </c>
      <c r="C45" s="10" t="s">
        <v>30</v>
      </c>
      <c r="D45" s="13">
        <f>$E$18</f>
        <v>1785.914454277286</v>
      </c>
      <c r="E45" s="14">
        <f>SUM(B45*H12*D45/10^6/2000)</f>
        <v>5.2512341036504431E-4</v>
      </c>
      <c r="F45" s="10"/>
      <c r="G45" s="167">
        <v>2229.6</v>
      </c>
      <c r="H45" s="172">
        <f>G45*$H$12/1000</f>
        <v>304922.32559999998</v>
      </c>
      <c r="I45" s="173">
        <f>B45*H45/2000</f>
        <v>0.65558300004000003</v>
      </c>
    </row>
    <row r="46" spans="1:9" x14ac:dyDescent="0.25">
      <c r="A46" s="10" t="s">
        <v>69</v>
      </c>
      <c r="B46" s="10">
        <v>1.6000000000000001E-3</v>
      </c>
      <c r="C46" s="10" t="s">
        <v>30</v>
      </c>
      <c r="D46" s="13">
        <f>$E$18</f>
        <v>1785.914454277286</v>
      </c>
      <c r="E46" s="21">
        <f>D46*7.13*0.000015*2/2000</f>
        <v>1.9100355088495574E-4</v>
      </c>
      <c r="F46" s="10"/>
      <c r="G46" s="167">
        <v>2229.6</v>
      </c>
      <c r="H46" s="172">
        <f>G46*$H$12/1000</f>
        <v>304922.32559999998</v>
      </c>
      <c r="I46" s="173">
        <f>B46*H46/2000</f>
        <v>0.24393786047999999</v>
      </c>
    </row>
    <row r="47" spans="1:9" x14ac:dyDescent="0.25">
      <c r="A47" s="15" t="s">
        <v>76</v>
      </c>
      <c r="B47" s="10"/>
      <c r="C47" s="10"/>
      <c r="D47" s="13"/>
      <c r="E47" s="10"/>
      <c r="F47" s="10"/>
      <c r="G47" s="14"/>
    </row>
    <row r="48" spans="1:9" x14ac:dyDescent="0.25">
      <c r="A48" s="15" t="s">
        <v>68</v>
      </c>
    </row>
    <row r="49" spans="1:7" x14ac:dyDescent="0.25">
      <c r="A49" s="15" t="s">
        <v>1054</v>
      </c>
    </row>
    <row r="51" spans="1:7" x14ac:dyDescent="0.25">
      <c r="C51" t="s">
        <v>697</v>
      </c>
    </row>
    <row r="52" spans="1:7" x14ac:dyDescent="0.25">
      <c r="C52" s="6" t="s">
        <v>570</v>
      </c>
      <c r="D52">
        <f>D46*H12/1000000+D32</f>
        <v>23712.437685000001</v>
      </c>
      <c r="F52" t="s">
        <v>952</v>
      </c>
    </row>
    <row r="53" spans="1:7" x14ac:dyDescent="0.25">
      <c r="F53">
        <f>(9.19*0.0015)+3.22</f>
        <v>3.2337850000000001</v>
      </c>
      <c r="G53" t="s">
        <v>63</v>
      </c>
    </row>
    <row r="54" spans="1:7" x14ac:dyDescent="0.25">
      <c r="F54">
        <f>(F53*1000000)/(1000*139000)</f>
        <v>2.3264640287769783E-2</v>
      </c>
    </row>
  </sheetData>
  <mergeCells count="3">
    <mergeCell ref="A1:I1"/>
    <mergeCell ref="A2:I2"/>
    <mergeCell ref="A3:I3"/>
  </mergeCells>
  <pageMargins left="0.45" right="0.2" top="0.75" bottom="0.75" header="0.3" footer="0.3"/>
  <pageSetup orientation="portrait" r:id="rId1"/>
  <ignoredErrors>
    <ignoredError sqref="E2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topLeftCell="A32" zoomScale="85" zoomScaleNormal="85" workbookViewId="0">
      <selection activeCell="G40" sqref="G40"/>
    </sheetView>
  </sheetViews>
  <sheetFormatPr defaultRowHeight="15" x14ac:dyDescent="0.25"/>
  <cols>
    <col min="1" max="1" width="9.7109375" customWidth="1"/>
    <col min="2" max="2" width="9.28515625" customWidth="1"/>
    <col min="3" max="3" width="15.140625" customWidth="1"/>
    <col min="4" max="4" width="11.140625" customWidth="1"/>
    <col min="5" max="5" width="10.28515625" customWidth="1"/>
    <col min="6" max="6" width="16.5703125" customWidth="1"/>
    <col min="7" max="7" width="9.7109375" customWidth="1"/>
    <col min="8" max="8" width="12.42578125" customWidth="1"/>
    <col min="9" max="9" width="17.42578125" bestFit="1" customWidth="1"/>
  </cols>
  <sheetData>
    <row r="1" spans="1:18" ht="15.75" x14ac:dyDescent="0.25">
      <c r="A1" s="1125" t="s">
        <v>443</v>
      </c>
      <c r="B1" s="1125"/>
      <c r="C1" s="1125"/>
      <c r="D1" s="1125"/>
      <c r="E1" s="1125"/>
      <c r="F1" s="1125"/>
      <c r="G1" s="1125"/>
      <c r="H1" s="1125"/>
      <c r="I1" s="1125"/>
      <c r="J1" s="259"/>
      <c r="K1" s="259"/>
      <c r="L1" s="259"/>
      <c r="M1" s="259"/>
      <c r="N1" s="259"/>
      <c r="O1" s="259"/>
      <c r="P1" s="259"/>
      <c r="Q1" s="259"/>
      <c r="R1" s="259"/>
    </row>
    <row r="2" spans="1:18" ht="15.75" x14ac:dyDescent="0.25">
      <c r="A2" s="1224" t="s">
        <v>1042</v>
      </c>
      <c r="B2" s="1224"/>
      <c r="C2" s="1224"/>
      <c r="D2" s="1224"/>
      <c r="E2" s="1224"/>
      <c r="F2" s="1224"/>
      <c r="G2" s="1224"/>
      <c r="H2" s="1224"/>
      <c r="I2" s="1224"/>
      <c r="J2" s="279"/>
      <c r="K2" s="279"/>
      <c r="L2" s="279"/>
      <c r="M2" s="279"/>
      <c r="N2" s="279"/>
      <c r="O2" s="279"/>
      <c r="P2" s="279"/>
      <c r="Q2" s="279"/>
      <c r="R2" s="279"/>
    </row>
    <row r="3" spans="1:18" ht="15.75" x14ac:dyDescent="0.25">
      <c r="A3" s="1125" t="s">
        <v>441</v>
      </c>
      <c r="B3" s="1125"/>
      <c r="C3" s="1125"/>
      <c r="D3" s="1125"/>
      <c r="E3" s="1125"/>
      <c r="F3" s="1125"/>
      <c r="G3" s="1125"/>
      <c r="H3" s="1125"/>
      <c r="I3" s="1125"/>
      <c r="J3" s="259"/>
      <c r="K3" s="259"/>
      <c r="L3" s="259"/>
      <c r="M3" s="259"/>
      <c r="N3" s="259"/>
      <c r="O3" s="259"/>
      <c r="P3" s="259"/>
      <c r="Q3" s="259"/>
      <c r="R3" s="259"/>
    </row>
    <row r="4" spans="1:18" x14ac:dyDescent="0.25">
      <c r="A4" s="9"/>
    </row>
    <row r="6" spans="1:18" x14ac:dyDescent="0.25">
      <c r="A6" s="8" t="s">
        <v>34</v>
      </c>
    </row>
    <row r="8" spans="1:18" x14ac:dyDescent="0.25">
      <c r="A8" s="1" t="s">
        <v>17</v>
      </c>
      <c r="E8" s="1" t="s">
        <v>18</v>
      </c>
    </row>
    <row r="9" spans="1:18" x14ac:dyDescent="0.25">
      <c r="A9" t="s">
        <v>14</v>
      </c>
      <c r="B9" s="2">
        <f>'CHP Fuel Use, CEMS Data'!AA19</f>
        <v>121085</v>
      </c>
      <c r="C9" t="s">
        <v>0</v>
      </c>
      <c r="E9" t="s">
        <v>20</v>
      </c>
      <c r="F9" s="5">
        <f>'CHP Fuel Use, CEMS Data'!AB39/1000</f>
        <v>6.9443999999999999</v>
      </c>
      <c r="G9" t="s">
        <v>10</v>
      </c>
    </row>
    <row r="10" spans="1:18" x14ac:dyDescent="0.25">
      <c r="A10" t="s">
        <v>15</v>
      </c>
      <c r="B10" s="7">
        <f>'CHP Fuel Use, CEMS Data'!X19/1000</f>
        <v>955.95299999999997</v>
      </c>
      <c r="C10" t="s">
        <v>10</v>
      </c>
      <c r="E10" t="s">
        <v>19</v>
      </c>
      <c r="F10" s="5">
        <f>'CHP Fuel Use, CEMS Data'!AB29/1000</f>
        <v>296.62029999999999</v>
      </c>
      <c r="G10" t="s">
        <v>10</v>
      </c>
      <c r="H10" s="2">
        <f>F10*G13</f>
        <v>305518.90899999999</v>
      </c>
      <c r="I10" t="s">
        <v>51</v>
      </c>
    </row>
    <row r="11" spans="1:18" x14ac:dyDescent="0.25">
      <c r="A11" t="s">
        <v>16</v>
      </c>
      <c r="B11">
        <f>'CTG - oil '!B10</f>
        <v>131.96</v>
      </c>
      <c r="C11" t="s">
        <v>9</v>
      </c>
      <c r="E11" t="s">
        <v>16</v>
      </c>
      <c r="F11">
        <f>'CTG - oil '!F10</f>
        <v>87.84</v>
      </c>
      <c r="G11" t="s">
        <v>9</v>
      </c>
    </row>
    <row r="13" spans="1:18" x14ac:dyDescent="0.25">
      <c r="A13" t="s">
        <v>35</v>
      </c>
      <c r="D13" s="2">
        <f>'CHP Fuel Use, CEMS Data'!Y19</f>
        <v>8198</v>
      </c>
      <c r="E13" t="s">
        <v>13</v>
      </c>
      <c r="F13" t="s">
        <v>248</v>
      </c>
      <c r="G13" s="2">
        <f>'CHP Fuel Use, CEMS Data'!K49</f>
        <v>1030</v>
      </c>
      <c r="H13" t="s">
        <v>247</v>
      </c>
    </row>
    <row r="14" spans="1:18" x14ac:dyDescent="0.25">
      <c r="A14" t="s">
        <v>36</v>
      </c>
      <c r="D14" s="2">
        <f>'CHP Fuel Use, CEMS Data'!Z19</f>
        <v>7976</v>
      </c>
      <c r="E14" t="s">
        <v>13</v>
      </c>
    </row>
    <row r="15" spans="1:18" x14ac:dyDescent="0.25">
      <c r="A15" t="s">
        <v>23</v>
      </c>
      <c r="D15" s="2">
        <f>D13-D14</f>
        <v>222</v>
      </c>
      <c r="E15" t="s">
        <v>13</v>
      </c>
    </row>
    <row r="17" spans="1:9" x14ac:dyDescent="0.25">
      <c r="A17" s="17" t="s">
        <v>41</v>
      </c>
    </row>
    <row r="19" spans="1:9" x14ac:dyDescent="0.25">
      <c r="A19" s="168" t="s">
        <v>1051</v>
      </c>
      <c r="E19">
        <f>(B10*D14)/D13</f>
        <v>930.06600731885817</v>
      </c>
      <c r="F19" t="s">
        <v>55</v>
      </c>
      <c r="H19" s="2">
        <f>SUM(E19*G13)</f>
        <v>957967.98753842397</v>
      </c>
      <c r="I19" t="s">
        <v>51</v>
      </c>
    </row>
    <row r="20" spans="1:9" x14ac:dyDescent="0.25">
      <c r="E20">
        <f>B10-E19</f>
        <v>25.886992681141805</v>
      </c>
      <c r="F20" t="s">
        <v>56</v>
      </c>
    </row>
    <row r="21" spans="1:9" x14ac:dyDescent="0.25">
      <c r="A21" s="17" t="s">
        <v>40</v>
      </c>
    </row>
    <row r="22" spans="1:9" x14ac:dyDescent="0.25">
      <c r="B22" s="175">
        <f>F10</f>
        <v>296.62029999999999</v>
      </c>
      <c r="C22" s="167" t="s">
        <v>195</v>
      </c>
      <c r="D22" s="174">
        <f>D14</f>
        <v>7976</v>
      </c>
      <c r="E22" s="167" t="s">
        <v>196</v>
      </c>
      <c r="F22" s="5">
        <f>F10/D14</f>
        <v>3.7189104814443326E-2</v>
      </c>
      <c r="G22" t="s">
        <v>42</v>
      </c>
    </row>
    <row r="23" spans="1:9" x14ac:dyDescent="0.25">
      <c r="B23" s="167">
        <f>F11</f>
        <v>87.84</v>
      </c>
      <c r="C23" s="167" t="s">
        <v>198</v>
      </c>
      <c r="D23" s="174">
        <f>G13</f>
        <v>1030</v>
      </c>
      <c r="E23" s="167" t="s">
        <v>197</v>
      </c>
      <c r="F23" s="5">
        <f>91.8/G13</f>
        <v>8.9126213592233008E-2</v>
      </c>
      <c r="G23" t="s">
        <v>42</v>
      </c>
    </row>
    <row r="24" spans="1:9" x14ac:dyDescent="0.25">
      <c r="F24" s="18">
        <f>SUM(F22/F23*100)</f>
        <v>41.726337645835102</v>
      </c>
      <c r="G24" t="s">
        <v>43</v>
      </c>
    </row>
    <row r="25" spans="1:9" x14ac:dyDescent="0.25">
      <c r="A25" t="s">
        <v>66</v>
      </c>
    </row>
    <row r="27" spans="1:9" x14ac:dyDescent="0.25">
      <c r="A27" s="8" t="s">
        <v>45</v>
      </c>
      <c r="G27" t="s">
        <v>170</v>
      </c>
    </row>
    <row r="28" spans="1:9" x14ac:dyDescent="0.25">
      <c r="D28" s="3" t="s">
        <v>32</v>
      </c>
      <c r="E28" s="3" t="s">
        <v>38</v>
      </c>
      <c r="G28" s="3" t="s">
        <v>39</v>
      </c>
    </row>
    <row r="29" spans="1:9" x14ac:dyDescent="0.25">
      <c r="A29" s="9" t="s">
        <v>5</v>
      </c>
      <c r="B29" s="3" t="s">
        <v>3</v>
      </c>
      <c r="D29" s="3" t="s">
        <v>53</v>
      </c>
      <c r="E29" s="3" t="s">
        <v>7</v>
      </c>
      <c r="G29" s="3" t="s">
        <v>7</v>
      </c>
    </row>
    <row r="30" spans="1:9" x14ac:dyDescent="0.25">
      <c r="A30" s="11"/>
      <c r="B30" s="12" t="s">
        <v>28</v>
      </c>
      <c r="C30" s="12" t="s">
        <v>29</v>
      </c>
      <c r="D30" s="12" t="s">
        <v>54</v>
      </c>
      <c r="E30" s="12" t="s">
        <v>37</v>
      </c>
      <c r="F30" s="3" t="s">
        <v>571</v>
      </c>
      <c r="G30" s="12" t="s">
        <v>37</v>
      </c>
    </row>
    <row r="31" spans="1:9" x14ac:dyDescent="0.25">
      <c r="A31" s="10" t="s">
        <v>12</v>
      </c>
      <c r="B31" s="150">
        <f>2000*E31/D31</f>
        <v>8.005631105246996E-3</v>
      </c>
      <c r="C31" s="10"/>
      <c r="D31" s="13">
        <f t="shared" ref="D31:D36" si="0">SUM($H$10+$H$19)</f>
        <v>1263486.8965384238</v>
      </c>
      <c r="E31" s="21">
        <f>'CHP Fuel Use, CEMS Data'!AA29/2000</f>
        <v>5.057504999999999</v>
      </c>
      <c r="F31" s="21">
        <f t="shared" ref="F31:F36" si="1">E31*2000/D31</f>
        <v>8.005631105246996E-3</v>
      </c>
      <c r="G31" s="149">
        <v>13.7</v>
      </c>
    </row>
    <row r="32" spans="1:9" x14ac:dyDescent="0.25">
      <c r="A32" s="10" t="s">
        <v>1</v>
      </c>
      <c r="B32" s="150">
        <f>2000*E32/D32</f>
        <v>2.8686399597257529E-3</v>
      </c>
      <c r="C32" s="10"/>
      <c r="D32" s="13">
        <f t="shared" si="0"/>
        <v>1263486.8965384238</v>
      </c>
      <c r="E32" s="21">
        <f>'CHP Fuel Use, CEMS Data'!Y29/2000</f>
        <v>1.8122445000000003</v>
      </c>
      <c r="F32" s="21">
        <f t="shared" si="1"/>
        <v>2.8686399597257529E-3</v>
      </c>
      <c r="G32" s="149">
        <v>12.1</v>
      </c>
    </row>
    <row r="33" spans="1:10" x14ac:dyDescent="0.25">
      <c r="A33" s="10" t="s">
        <v>2</v>
      </c>
      <c r="B33" s="150">
        <v>5.0000000000000001E-4</v>
      </c>
      <c r="C33" s="10" t="s">
        <v>30</v>
      </c>
      <c r="D33" s="13">
        <f t="shared" si="0"/>
        <v>1263486.8965384238</v>
      </c>
      <c r="E33" s="14">
        <f>SUM(B33*D33/2000)</f>
        <v>0.31587172413460596</v>
      </c>
      <c r="F33" s="21">
        <f t="shared" si="1"/>
        <v>5.0000000000000001E-4</v>
      </c>
      <c r="G33" s="149">
        <v>2.2000000000000002</v>
      </c>
    </row>
    <row r="34" spans="1:10" ht="18" x14ac:dyDescent="0.35">
      <c r="A34" s="10" t="s">
        <v>57</v>
      </c>
      <c r="B34" s="150">
        <f>2000*E34/D34</f>
        <v>6.7732004371758427E-4</v>
      </c>
      <c r="C34" s="10"/>
      <c r="D34" s="13">
        <f t="shared" si="0"/>
        <v>1263486.8965384238</v>
      </c>
      <c r="E34" s="21">
        <f>'CHP Fuel Use, CEMS Data'!Z29/2000</f>
        <v>0.42789250000000006</v>
      </c>
      <c r="F34" s="21">
        <f t="shared" si="1"/>
        <v>6.7732004371758427E-4</v>
      </c>
      <c r="G34" s="149">
        <v>3</v>
      </c>
    </row>
    <row r="35" spans="1:10" ht="18" x14ac:dyDescent="0.35">
      <c r="A35" s="10" t="s">
        <v>49</v>
      </c>
      <c r="B35" s="150">
        <v>6.01</v>
      </c>
      <c r="C35" s="10" t="s">
        <v>31</v>
      </c>
      <c r="D35" s="13">
        <f t="shared" si="0"/>
        <v>1263486.8965384238</v>
      </c>
      <c r="E35" s="14">
        <f>(B35*D14)/2000</f>
        <v>23.967879999999997</v>
      </c>
      <c r="F35" s="21">
        <f t="shared" si="1"/>
        <v>3.7939261682356687E-2</v>
      </c>
      <c r="G35" s="149">
        <v>31.4</v>
      </c>
      <c r="I35" s="226"/>
    </row>
    <row r="36" spans="1:10" x14ac:dyDescent="0.25">
      <c r="A36" s="10" t="s">
        <v>59</v>
      </c>
      <c r="B36" s="150">
        <v>0.8</v>
      </c>
      <c r="C36" s="10" t="s">
        <v>171</v>
      </c>
      <c r="D36" s="13">
        <f t="shared" si="0"/>
        <v>1263486.8965384238</v>
      </c>
      <c r="E36" s="14">
        <f>SUM(B36/7000/100*(F10+E19)*10^6*2/2000)</f>
        <v>1.4019272083644094</v>
      </c>
      <c r="F36" s="21">
        <f t="shared" si="1"/>
        <v>2.2191400832177531E-3</v>
      </c>
      <c r="G36" s="149">
        <v>1.9</v>
      </c>
    </row>
    <row r="37" spans="1:10" x14ac:dyDescent="0.25">
      <c r="A37" s="15" t="s">
        <v>78</v>
      </c>
      <c r="B37" s="10"/>
      <c r="C37" s="10"/>
      <c r="D37" s="13"/>
      <c r="E37" s="10"/>
      <c r="F37" s="10"/>
    </row>
    <row r="38" spans="1:10" s="720" customFormat="1" x14ac:dyDescent="0.25">
      <c r="A38" s="741" t="s">
        <v>909</v>
      </c>
      <c r="B38" s="721"/>
      <c r="C38" s="721"/>
      <c r="D38" s="13"/>
      <c r="E38" s="721"/>
      <c r="F38" s="721"/>
    </row>
    <row r="39" spans="1:10" x14ac:dyDescent="0.25">
      <c r="A39" s="15" t="s">
        <v>58</v>
      </c>
    </row>
    <row r="40" spans="1:10" x14ac:dyDescent="0.25">
      <c r="A40" s="4" t="s">
        <v>72</v>
      </c>
    </row>
    <row r="41" spans="1:10" x14ac:dyDescent="0.25">
      <c r="A41" s="15"/>
    </row>
    <row r="42" spans="1:10" x14ac:dyDescent="0.25">
      <c r="A42" s="16" t="s">
        <v>48</v>
      </c>
      <c r="D42" s="15" t="s">
        <v>67</v>
      </c>
    </row>
    <row r="43" spans="1:10" x14ac:dyDescent="0.25">
      <c r="E43" s="3" t="s">
        <v>38</v>
      </c>
      <c r="G43" s="3"/>
    </row>
    <row r="44" spans="1:10" x14ac:dyDescent="0.25">
      <c r="A44" s="9" t="s">
        <v>5</v>
      </c>
      <c r="B44" s="3" t="s">
        <v>3</v>
      </c>
      <c r="D44" s="3" t="s">
        <v>32</v>
      </c>
      <c r="E44" s="3" t="s">
        <v>7</v>
      </c>
      <c r="G44" s="3"/>
    </row>
    <row r="45" spans="1:10" x14ac:dyDescent="0.25">
      <c r="A45" s="11"/>
      <c r="B45" s="12" t="s">
        <v>28</v>
      </c>
      <c r="C45" s="12" t="s">
        <v>29</v>
      </c>
      <c r="D45" s="12" t="s">
        <v>44</v>
      </c>
      <c r="E45" s="12" t="s">
        <v>37</v>
      </c>
      <c r="G45" s="3" t="s">
        <v>51</v>
      </c>
      <c r="I45" s="3" t="s">
        <v>696</v>
      </c>
    </row>
    <row r="46" spans="1:10" x14ac:dyDescent="0.25">
      <c r="A46" s="10" t="s">
        <v>2</v>
      </c>
      <c r="B46" s="10">
        <v>0</v>
      </c>
      <c r="C46" s="10" t="s">
        <v>30</v>
      </c>
      <c r="D46" s="19">
        <f>$E$20</f>
        <v>25.886992681141805</v>
      </c>
      <c r="E46" s="14">
        <f>SUM(B46*1022*D46/2000)</f>
        <v>0</v>
      </c>
      <c r="F46" s="10"/>
      <c r="G46" s="14">
        <f>D46*1025.21</f>
        <v>26539.60376663339</v>
      </c>
      <c r="I46" s="5">
        <f>G46+D31</f>
        <v>1290026.5003050573</v>
      </c>
      <c r="J46" t="s">
        <v>51</v>
      </c>
    </row>
    <row r="47" spans="1:10" ht="18" x14ac:dyDescent="0.35">
      <c r="A47" s="10" t="s">
        <v>49</v>
      </c>
      <c r="B47" s="10">
        <v>3.67</v>
      </c>
      <c r="C47" s="10" t="s">
        <v>31</v>
      </c>
      <c r="D47" s="19">
        <f>$E$20</f>
        <v>25.886992681141805</v>
      </c>
      <c r="E47" s="14">
        <f>SUM(B47*D15/2000)</f>
        <v>0.40737000000000001</v>
      </c>
      <c r="F47" s="10"/>
      <c r="G47" s="14"/>
    </row>
    <row r="48" spans="1:10" x14ac:dyDescent="0.25">
      <c r="A48" s="10" t="s">
        <v>59</v>
      </c>
      <c r="B48" s="10">
        <v>0.8</v>
      </c>
      <c r="C48" s="10" t="s">
        <v>171</v>
      </c>
      <c r="D48" s="19">
        <f>$E$20</f>
        <v>25.886992681141805</v>
      </c>
      <c r="E48" s="14">
        <f>SUM(B48/100/7000*D48*10^6*2/2000)</f>
        <v>2.9585134492733492E-2</v>
      </c>
      <c r="F48" s="10"/>
      <c r="G48" s="14"/>
    </row>
    <row r="49" spans="1:7" x14ac:dyDescent="0.25">
      <c r="A49" s="75" t="s">
        <v>77</v>
      </c>
      <c r="B49" s="10"/>
      <c r="C49" s="10"/>
      <c r="D49" s="19"/>
      <c r="E49" s="14"/>
      <c r="F49" s="10"/>
      <c r="G49" s="14"/>
    </row>
    <row r="50" spans="1:7" x14ac:dyDescent="0.25">
      <c r="A50" s="75" t="s">
        <v>71</v>
      </c>
    </row>
    <row r="51" spans="1:7" x14ac:dyDescent="0.25">
      <c r="A51" s="24" t="s">
        <v>72</v>
      </c>
    </row>
  </sheetData>
  <mergeCells count="3">
    <mergeCell ref="A1:I1"/>
    <mergeCell ref="A2:I2"/>
    <mergeCell ref="A3:I3"/>
  </mergeCells>
  <pageMargins left="0.7" right="0.7" top="0.75" bottom="0.5" header="0.3" footer="0.3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9"/>
  <sheetViews>
    <sheetView topLeftCell="V13" zoomScale="70" zoomScaleNormal="70" workbookViewId="0">
      <selection activeCell="D7" sqref="D7"/>
    </sheetView>
  </sheetViews>
  <sheetFormatPr defaultRowHeight="15" x14ac:dyDescent="0.25"/>
  <cols>
    <col min="1" max="1" width="5.28515625" customWidth="1"/>
    <col min="2" max="2" width="48" customWidth="1"/>
    <col min="3" max="17" width="9.7109375" customWidth="1"/>
    <col min="18" max="18" width="11.140625" customWidth="1"/>
    <col min="19" max="19" width="16.42578125" customWidth="1"/>
    <col min="20" max="20" width="9.7109375" customWidth="1"/>
  </cols>
  <sheetData>
    <row r="1" spans="1:32" ht="15.75" x14ac:dyDescent="0.25">
      <c r="A1" s="1238" t="s">
        <v>166</v>
      </c>
      <c r="B1" s="1238"/>
      <c r="C1" s="1238"/>
      <c r="D1" s="1238"/>
      <c r="E1" s="1238"/>
      <c r="F1" s="1238"/>
      <c r="G1" s="1238"/>
      <c r="H1" s="1238"/>
      <c r="I1" s="1238"/>
      <c r="J1" s="1238"/>
      <c r="K1" s="1238"/>
      <c r="L1" s="1238"/>
      <c r="M1" s="1238"/>
      <c r="N1" s="1238"/>
      <c r="O1" s="1238"/>
      <c r="P1" s="1238"/>
      <c r="Q1" s="1238"/>
      <c r="R1" s="1238"/>
      <c r="S1" s="1238"/>
      <c r="T1" s="1238"/>
    </row>
    <row r="2" spans="1:32" ht="16.5" thickBot="1" x14ac:dyDescent="0.3">
      <c r="A2" s="1238" t="s">
        <v>1015</v>
      </c>
      <c r="B2" s="1238"/>
      <c r="C2" s="1238"/>
      <c r="D2" s="1238"/>
      <c r="E2" s="1238"/>
      <c r="F2" s="1238"/>
      <c r="G2" s="1238"/>
      <c r="H2" s="1238"/>
      <c r="I2" s="1238"/>
      <c r="J2" s="1238"/>
      <c r="K2" s="1238"/>
      <c r="L2" s="1238"/>
      <c r="M2" s="1238"/>
      <c r="N2" s="1238"/>
      <c r="O2" s="1238"/>
      <c r="P2" s="1238"/>
      <c r="Q2" s="1238"/>
      <c r="R2" s="1238"/>
      <c r="S2" s="1238"/>
      <c r="T2" s="1238"/>
    </row>
    <row r="3" spans="1:32" ht="16.5" thickBot="1" x14ac:dyDescent="0.3">
      <c r="A3" s="1241" t="s">
        <v>163</v>
      </c>
      <c r="B3" s="75"/>
      <c r="C3" s="79" t="s">
        <v>137</v>
      </c>
      <c r="D3" s="81" t="s">
        <v>138</v>
      </c>
      <c r="E3" s="80" t="s">
        <v>139</v>
      </c>
      <c r="F3" s="74"/>
      <c r="G3" s="74"/>
      <c r="H3" s="74"/>
      <c r="I3" s="74"/>
      <c r="J3" s="74"/>
      <c r="K3" s="74"/>
      <c r="L3" s="74"/>
      <c r="M3" s="74"/>
      <c r="N3" s="74" t="s">
        <v>184</v>
      </c>
      <c r="O3" s="74"/>
      <c r="P3" s="74"/>
      <c r="Q3" s="74"/>
      <c r="R3" s="74"/>
      <c r="S3" s="74"/>
      <c r="T3" s="74"/>
    </row>
    <row r="4" spans="1:32" ht="16.5" thickBot="1" x14ac:dyDescent="0.3">
      <c r="A4" s="1241"/>
      <c r="B4" s="76" t="s">
        <v>173</v>
      </c>
      <c r="C4" s="153">
        <v>179.7</v>
      </c>
      <c r="D4" s="153">
        <v>162.1</v>
      </c>
      <c r="E4" s="153">
        <v>162.1</v>
      </c>
      <c r="F4" s="74"/>
      <c r="H4" s="53" t="s">
        <v>153</v>
      </c>
      <c r="I4" s="2">
        <f>'CHP Fuel Use, CEMS Data'!K48</f>
        <v>136761</v>
      </c>
      <c r="J4" t="s">
        <v>6</v>
      </c>
      <c r="K4" s="74"/>
      <c r="M4" s="1239" t="s">
        <v>5</v>
      </c>
      <c r="N4" s="1240"/>
      <c r="O4" s="227" t="s">
        <v>181</v>
      </c>
      <c r="P4" s="228" t="s">
        <v>182</v>
      </c>
      <c r="Q4" s="74"/>
      <c r="R4" s="74"/>
      <c r="S4" s="74"/>
      <c r="T4" s="74"/>
    </row>
    <row r="5" spans="1:32" ht="15.75" x14ac:dyDescent="0.25">
      <c r="A5" s="1241"/>
      <c r="B5" s="154" t="s">
        <v>174</v>
      </c>
      <c r="C5" s="191">
        <v>173.4</v>
      </c>
      <c r="D5" s="155">
        <v>156.1</v>
      </c>
      <c r="E5" s="155">
        <v>156.1</v>
      </c>
      <c r="F5" s="74"/>
      <c r="H5" s="53" t="s">
        <v>154</v>
      </c>
      <c r="I5">
        <f>'CHP Fuel Use, CEMS Data'!K49</f>
        <v>1030</v>
      </c>
      <c r="J5" t="s">
        <v>11</v>
      </c>
      <c r="K5" s="74"/>
      <c r="L5" s="74"/>
      <c r="M5" s="1232" t="s">
        <v>180</v>
      </c>
      <c r="N5" s="1233"/>
      <c r="O5" s="231">
        <v>57.9</v>
      </c>
      <c r="P5" s="231">
        <f t="shared" ref="P5:P10" si="0">O5*2000</f>
        <v>115800</v>
      </c>
      <c r="Q5" s="74"/>
      <c r="R5" s="74"/>
      <c r="S5" s="74"/>
      <c r="T5" s="74"/>
      <c r="W5" s="168" t="s">
        <v>599</v>
      </c>
      <c r="X5" s="481"/>
      <c r="Y5" s="481"/>
      <c r="Z5" s="168"/>
      <c r="AA5" s="168"/>
      <c r="AB5" s="168"/>
      <c r="AC5" s="168"/>
      <c r="AD5" s="168"/>
      <c r="AE5" s="168"/>
      <c r="AF5" s="168"/>
    </row>
    <row r="6" spans="1:32" ht="15.75" x14ac:dyDescent="0.25">
      <c r="A6" s="1241"/>
      <c r="B6" s="156" t="s">
        <v>175</v>
      </c>
      <c r="C6" s="191">
        <f>C5*1000000/I4</f>
        <v>1267.9053238861957</v>
      </c>
      <c r="D6" s="191">
        <f>D5*1000000/I4</f>
        <v>1141.4072725411484</v>
      </c>
      <c r="E6" s="191">
        <f>E5*1000000/I4</f>
        <v>1141.4072725411484</v>
      </c>
      <c r="F6" s="74"/>
      <c r="H6" s="229" t="s">
        <v>155</v>
      </c>
      <c r="I6">
        <v>7.13</v>
      </c>
      <c r="J6" t="s">
        <v>156</v>
      </c>
      <c r="K6" s="74"/>
      <c r="L6" s="74"/>
      <c r="M6" s="1232" t="s">
        <v>183</v>
      </c>
      <c r="N6" s="1233"/>
      <c r="O6" s="231">
        <v>3.1</v>
      </c>
      <c r="P6" s="231">
        <f t="shared" si="0"/>
        <v>6200</v>
      </c>
      <c r="Q6" s="74"/>
      <c r="R6" s="74"/>
      <c r="S6" s="74"/>
      <c r="T6" s="74"/>
      <c r="W6" s="168"/>
      <c r="X6" s="168"/>
      <c r="Y6" s="168"/>
      <c r="Z6" s="168"/>
      <c r="AA6" s="168"/>
      <c r="AB6" s="168"/>
      <c r="AC6" s="168"/>
      <c r="AD6" s="168"/>
      <c r="AE6" s="168"/>
      <c r="AF6" s="168"/>
    </row>
    <row r="7" spans="1:32" ht="15.75" x14ac:dyDescent="0.25">
      <c r="A7" s="1241"/>
      <c r="B7" s="77" t="s">
        <v>165</v>
      </c>
      <c r="C7" s="82">
        <f>'CHP Fuel Use, CEMS Data'!D19</f>
        <v>106272</v>
      </c>
      <c r="D7" s="82">
        <f>'CHP Fuel Use, CEMS Data'!K19</f>
        <v>128949</v>
      </c>
      <c r="E7" s="82">
        <f>'CHP Fuel Use, CEMS Data'!R19</f>
        <v>70250</v>
      </c>
      <c r="F7" s="74"/>
      <c r="K7" s="74"/>
      <c r="L7" s="74"/>
      <c r="M7" s="1232" t="s">
        <v>12</v>
      </c>
      <c r="N7" s="1233"/>
      <c r="O7" s="231">
        <v>28.9</v>
      </c>
      <c r="P7" s="231">
        <f t="shared" si="0"/>
        <v>57800</v>
      </c>
      <c r="Q7" s="74"/>
      <c r="R7" s="74"/>
      <c r="S7" s="74"/>
      <c r="T7" s="74"/>
      <c r="W7" s="481"/>
      <c r="X7" s="481"/>
      <c r="Y7" s="481"/>
      <c r="Z7" s="481"/>
      <c r="AA7" s="481"/>
      <c r="AB7" s="481"/>
      <c r="AC7" s="481"/>
      <c r="AD7" s="481"/>
      <c r="AE7" s="481"/>
      <c r="AF7" s="481"/>
    </row>
    <row r="8" spans="1:32" ht="16.5" thickBot="1" x14ac:dyDescent="0.3">
      <c r="A8" s="1241"/>
      <c r="B8" s="77" t="s">
        <v>164</v>
      </c>
      <c r="C8" s="83">
        <f>(C7*$I$4)/1000000</f>
        <v>14533.864992000001</v>
      </c>
      <c r="D8" s="83">
        <f>(D7*$I$4)/1000000</f>
        <v>17635.194189000002</v>
      </c>
      <c r="E8" s="83">
        <f>(E7*$I$4)/1000000</f>
        <v>9607.4602500000001</v>
      </c>
      <c r="F8" s="74"/>
      <c r="K8" s="74"/>
      <c r="L8" s="74"/>
      <c r="M8" s="1232" t="s">
        <v>1</v>
      </c>
      <c r="N8" s="1233"/>
      <c r="O8" s="231">
        <v>53.4</v>
      </c>
      <c r="P8" s="231">
        <f t="shared" si="0"/>
        <v>106800</v>
      </c>
      <c r="Q8" s="74"/>
      <c r="R8" s="74"/>
      <c r="S8" s="74"/>
      <c r="T8" s="74"/>
      <c r="W8" s="482">
        <v>200</v>
      </c>
      <c r="X8" s="1225" t="s">
        <v>299</v>
      </c>
      <c r="Y8" s="1225"/>
      <c r="Z8" s="1225"/>
      <c r="AA8" s="482"/>
      <c r="AB8" s="1225" t="s">
        <v>322</v>
      </c>
      <c r="AC8" s="1225"/>
      <c r="AD8" s="1225"/>
      <c r="AE8" s="481"/>
      <c r="AF8" s="481" t="s">
        <v>600</v>
      </c>
    </row>
    <row r="9" spans="1:32" ht="15.75" x14ac:dyDescent="0.25">
      <c r="A9" s="1241"/>
      <c r="B9" s="77" t="s">
        <v>134</v>
      </c>
      <c r="C9" s="192">
        <f>SUM('CHP Fuel Use, CEMS Data'!D11:D15)</f>
        <v>0</v>
      </c>
      <c r="D9" s="192">
        <f>SUM('CHP Fuel Use, CEMS Data'!K11:K15)</f>
        <v>0</v>
      </c>
      <c r="E9" s="192">
        <f>SUM('CHP Fuel Use, CEMS Data'!R11:R15)</f>
        <v>0</v>
      </c>
      <c r="F9" s="74"/>
      <c r="K9" s="74"/>
      <c r="L9" s="74"/>
      <c r="M9" s="1232" t="s">
        <v>2</v>
      </c>
      <c r="N9" s="1233"/>
      <c r="O9" s="231">
        <v>8.1</v>
      </c>
      <c r="P9" s="231">
        <f t="shared" si="0"/>
        <v>16200</v>
      </c>
      <c r="Q9" s="74"/>
      <c r="R9" s="74"/>
      <c r="S9" s="74"/>
      <c r="T9" s="74"/>
      <c r="W9" s="481"/>
      <c r="X9" s="481" t="s">
        <v>602</v>
      </c>
      <c r="Y9" s="481" t="s">
        <v>603</v>
      </c>
      <c r="Z9" s="481" t="s">
        <v>571</v>
      </c>
      <c r="AA9" s="481"/>
      <c r="AB9" s="481" t="s">
        <v>602</v>
      </c>
      <c r="AC9" s="481" t="s">
        <v>603</v>
      </c>
      <c r="AD9" s="481" t="s">
        <v>571</v>
      </c>
      <c r="AE9" s="481"/>
      <c r="AF9" s="481"/>
    </row>
    <row r="10" spans="1:32" x14ac:dyDescent="0.25">
      <c r="A10" s="1241"/>
      <c r="B10" s="78" t="s">
        <v>146</v>
      </c>
      <c r="C10" s="82">
        <f>'CHP Fuel Use, CEMS Data'!B19</f>
        <v>275599.40000000002</v>
      </c>
      <c r="D10" s="82">
        <f>'CHP Fuel Use, CEMS Data'!I19</f>
        <v>165837.20000000001</v>
      </c>
      <c r="E10" s="82">
        <f>'CHP Fuel Use, CEMS Data'!P19</f>
        <v>159060.20000000001</v>
      </c>
      <c r="G10" s="23" t="s">
        <v>185</v>
      </c>
      <c r="H10" s="230"/>
      <c r="M10" s="1234" t="s">
        <v>102</v>
      </c>
      <c r="N10" s="1235"/>
      <c r="O10" s="232">
        <v>2</v>
      </c>
      <c r="P10" s="231">
        <f t="shared" si="0"/>
        <v>4000</v>
      </c>
      <c r="W10" s="481" t="s">
        <v>60</v>
      </c>
      <c r="X10" s="483">
        <f>O34</f>
        <v>1.41933691</v>
      </c>
      <c r="Y10" s="483">
        <f>O36</f>
        <v>20.648204008731891</v>
      </c>
      <c r="Z10" s="484">
        <f>O31</f>
        <v>10.3</v>
      </c>
      <c r="AA10" s="481"/>
      <c r="AB10" s="485">
        <f>O25</f>
        <v>3.5692248240000002E-2</v>
      </c>
      <c r="AC10" s="485">
        <f>O27</f>
        <v>2.2056480000000001</v>
      </c>
      <c r="AD10" s="486">
        <f>O20</f>
        <v>0.67171500000000006</v>
      </c>
      <c r="AE10" s="481"/>
      <c r="AF10" s="486">
        <f>AB10+X10</f>
        <v>1.4550291582399999</v>
      </c>
    </row>
    <row r="11" spans="1:32" x14ac:dyDescent="0.25">
      <c r="A11" s="1241"/>
      <c r="B11" s="78" t="s">
        <v>956</v>
      </c>
      <c r="C11" s="84">
        <f>C10/1000</f>
        <v>275.5994</v>
      </c>
      <c r="D11" s="84">
        <f>D10/1000</f>
        <v>165.83720000000002</v>
      </c>
      <c r="E11" s="84">
        <f>E10/1000</f>
        <v>159.06020000000001</v>
      </c>
      <c r="G11" s="23" t="s">
        <v>186</v>
      </c>
      <c r="W11" s="481" t="s">
        <v>61</v>
      </c>
      <c r="X11" s="483">
        <f>R34</f>
        <v>1.41933691</v>
      </c>
      <c r="Y11" s="483">
        <f>R36</f>
        <v>20.648204008731891</v>
      </c>
      <c r="Z11" s="484">
        <f>R31</f>
        <v>10.3</v>
      </c>
      <c r="AA11" s="481"/>
      <c r="AB11" s="486">
        <f>R25</f>
        <v>3.5692248240000002E-2</v>
      </c>
      <c r="AC11" s="486">
        <f>R27</f>
        <v>2.2056480000000001</v>
      </c>
      <c r="AD11" s="486">
        <f>R20</f>
        <v>0.67171500000000006</v>
      </c>
      <c r="AE11" s="481"/>
      <c r="AF11" s="486">
        <f t="shared" ref="AF11:AF16" si="1">AB11+X11</f>
        <v>1.4550291582399999</v>
      </c>
    </row>
    <row r="12" spans="1:32" x14ac:dyDescent="0.25">
      <c r="A12" s="1241"/>
      <c r="B12" s="151" t="s">
        <v>141</v>
      </c>
      <c r="C12" s="152">
        <f>C11*$I$5</f>
        <v>283867.38199999998</v>
      </c>
      <c r="D12" s="152">
        <f>D11*$I$5</f>
        <v>170812.31600000002</v>
      </c>
      <c r="E12" s="152">
        <f>E11*$I$5</f>
        <v>163832.00600000002</v>
      </c>
      <c r="G12" t="s">
        <v>187</v>
      </c>
      <c r="W12" s="481" t="s">
        <v>183</v>
      </c>
      <c r="X12" s="485">
        <f>C51</f>
        <v>8.5160214599999992E-2</v>
      </c>
      <c r="Y12" s="485">
        <f>C55</f>
        <v>1.1055169676523122</v>
      </c>
      <c r="Z12" s="484">
        <f>C48</f>
        <v>0.61799999999999999</v>
      </c>
      <c r="AA12" s="481"/>
      <c r="AB12" s="485">
        <f>C46</f>
        <v>1.1365790399999999E-2</v>
      </c>
      <c r="AC12" s="485">
        <f>C53</f>
        <v>0.68994538969443053</v>
      </c>
      <c r="AD12" s="486">
        <f>C49</f>
        <v>0.21389999999999998</v>
      </c>
      <c r="AE12" s="481"/>
      <c r="AF12" s="486">
        <f t="shared" si="1"/>
        <v>9.6526004999999998E-2</v>
      </c>
    </row>
    <row r="13" spans="1:32" x14ac:dyDescent="0.25">
      <c r="A13" s="169"/>
      <c r="B13" s="190" t="s">
        <v>172</v>
      </c>
      <c r="C13" s="193">
        <f>100*C4/(C4+D4+E4)</f>
        <v>35.661837666203617</v>
      </c>
      <c r="D13" s="193">
        <f>100*D4/(C4+D4+E4)</f>
        <v>32.169081166898195</v>
      </c>
      <c r="E13" s="193">
        <f>100*E4/(C4+D4+E4)</f>
        <v>32.169081166898195</v>
      </c>
      <c r="W13" s="481" t="s">
        <v>601</v>
      </c>
      <c r="X13" s="483">
        <f>C34</f>
        <v>0.72055999999999998</v>
      </c>
      <c r="Y13" s="483">
        <f>C36</f>
        <v>10.306271085532845</v>
      </c>
      <c r="Z13" s="484">
        <f>C31</f>
        <v>5.2290389601719012</v>
      </c>
      <c r="AA13" s="486"/>
      <c r="AB13" s="485">
        <f>C25</f>
        <v>7.5454999999999994E-2</v>
      </c>
      <c r="AC13" s="485">
        <f>C27</f>
        <v>2.3820998400000004</v>
      </c>
      <c r="AD13" s="486">
        <f>C20</f>
        <v>1.4200353809093647</v>
      </c>
      <c r="AE13" s="481"/>
      <c r="AF13" s="486">
        <f t="shared" si="1"/>
        <v>0.79601499999999992</v>
      </c>
    </row>
    <row r="14" spans="1:32" x14ac:dyDescent="0.25">
      <c r="A14" s="169"/>
      <c r="B14" s="77" t="s">
        <v>199</v>
      </c>
      <c r="C14" s="176">
        <f>SUM('CHP Fuel Use, CEMS Data'!B11:B15)</f>
        <v>0</v>
      </c>
      <c r="D14" s="176">
        <f>SUM('CHP Fuel Use, CEMS Data'!I11:I15)</f>
        <v>0</v>
      </c>
      <c r="E14" s="176">
        <f>SUM('CHP Fuel Use, CEMS Data'!P11:P15)</f>
        <v>0</v>
      </c>
      <c r="W14" s="481" t="s">
        <v>1</v>
      </c>
      <c r="X14" s="485">
        <f>F34</f>
        <v>1.97E-3</v>
      </c>
      <c r="Y14" s="483">
        <f>F36</f>
        <v>19.043421313752734</v>
      </c>
      <c r="Z14" s="484">
        <f>F31</f>
        <v>1.4296112400825255E-2</v>
      </c>
      <c r="AA14" s="481"/>
      <c r="AB14" s="486">
        <f>F25</f>
        <v>3.5000000000000004E-5</v>
      </c>
      <c r="AC14" s="486">
        <f>F27</f>
        <v>2.1246290657713578E-3</v>
      </c>
      <c r="AD14" s="486">
        <f>F20</f>
        <v>6.5868714242697985E-4</v>
      </c>
      <c r="AE14" s="487"/>
      <c r="AF14" s="486">
        <f t="shared" si="1"/>
        <v>2.0049999999999998E-3</v>
      </c>
    </row>
    <row r="15" spans="1:32" ht="15.75" thickBot="1" x14ac:dyDescent="0.3">
      <c r="A15" s="169"/>
      <c r="B15" s="177" t="s">
        <v>200</v>
      </c>
      <c r="C15" s="178">
        <f>(C14/1000)*$I$5</f>
        <v>0</v>
      </c>
      <c r="D15" s="178">
        <f>(D14/1000)*$I$5</f>
        <v>0</v>
      </c>
      <c r="E15" s="178">
        <f>(E14/1000)*$I$5</f>
        <v>0</v>
      </c>
      <c r="W15" s="481" t="s">
        <v>2</v>
      </c>
      <c r="X15" s="485">
        <f>L34</f>
        <v>0.22709390560000001</v>
      </c>
      <c r="Y15" s="485">
        <f>L36</f>
        <v>2.888608850962493</v>
      </c>
      <c r="Z15" s="484">
        <f>L31</f>
        <v>1.6480000000000001</v>
      </c>
      <c r="AA15" s="481"/>
      <c r="AB15" s="486">
        <f>L25</f>
        <v>7.1384496480000003E-4</v>
      </c>
      <c r="AC15" s="486">
        <f>L27</f>
        <v>4.411296E-2</v>
      </c>
      <c r="AD15" s="484">
        <f>L21</f>
        <v>1E-4</v>
      </c>
      <c r="AE15" s="481"/>
      <c r="AF15" s="486">
        <f t="shared" si="1"/>
        <v>0.22780775056480002</v>
      </c>
    </row>
    <row r="16" spans="1:32" ht="15.75" thickBot="1" x14ac:dyDescent="0.3">
      <c r="W16" s="481" t="s">
        <v>102</v>
      </c>
      <c r="X16" s="485">
        <f>I34</f>
        <v>2.5725000000000001E-2</v>
      </c>
      <c r="Y16" s="483">
        <f>I36</f>
        <v>0.71323675332407233</v>
      </c>
      <c r="Z16" s="484">
        <f>I31</f>
        <v>0.18668400584326381</v>
      </c>
      <c r="AA16" s="481"/>
      <c r="AB16" s="485">
        <f>I25</f>
        <v>3.4100000000000003E-3</v>
      </c>
      <c r="AC16" s="485">
        <f>I27</f>
        <v>4.4112960000000007E-2</v>
      </c>
      <c r="AD16" s="486">
        <f>I20</f>
        <v>6.417494730502861E-2</v>
      </c>
      <c r="AE16" s="481"/>
      <c r="AF16" s="486">
        <f t="shared" si="1"/>
        <v>2.9135000000000001E-2</v>
      </c>
    </row>
    <row r="17" spans="1:32" x14ac:dyDescent="0.25">
      <c r="B17" s="26"/>
      <c r="C17" s="1226" t="s">
        <v>125</v>
      </c>
      <c r="D17" s="1227"/>
      <c r="E17" s="1227"/>
      <c r="F17" s="1226" t="s">
        <v>1</v>
      </c>
      <c r="G17" s="1227"/>
      <c r="H17" s="1227"/>
      <c r="I17" s="1226" t="s">
        <v>102</v>
      </c>
      <c r="J17" s="1227"/>
      <c r="K17" s="1228"/>
      <c r="L17" s="1226" t="s">
        <v>2</v>
      </c>
      <c r="M17" s="1227"/>
      <c r="N17" s="1228"/>
      <c r="O17" s="1226" t="s">
        <v>60</v>
      </c>
      <c r="P17" s="1227"/>
      <c r="Q17" s="1228"/>
      <c r="R17" s="1226" t="s">
        <v>61</v>
      </c>
      <c r="S17" s="1227"/>
      <c r="T17" s="1228"/>
      <c r="W17" s="481"/>
      <c r="X17" s="481"/>
      <c r="Y17" s="481"/>
      <c r="Z17" s="484"/>
      <c r="AA17" s="481"/>
      <c r="AB17" s="481"/>
      <c r="AC17" s="481"/>
      <c r="AD17" s="481"/>
      <c r="AE17" s="481"/>
      <c r="AF17" s="481"/>
    </row>
    <row r="18" spans="1:32" ht="15" customHeight="1" thickBot="1" x14ac:dyDescent="0.3">
      <c r="B18" s="27"/>
      <c r="C18" s="28" t="s">
        <v>137</v>
      </c>
      <c r="D18" s="29" t="s">
        <v>138</v>
      </c>
      <c r="E18" s="30" t="s">
        <v>139</v>
      </c>
      <c r="F18" s="28" t="s">
        <v>137</v>
      </c>
      <c r="G18" s="29" t="s">
        <v>138</v>
      </c>
      <c r="H18" s="31" t="s">
        <v>139</v>
      </c>
      <c r="I18" s="28" t="s">
        <v>137</v>
      </c>
      <c r="J18" s="29" t="s">
        <v>138</v>
      </c>
      <c r="K18" s="30" t="s">
        <v>139</v>
      </c>
      <c r="L18" s="28" t="s">
        <v>137</v>
      </c>
      <c r="M18" s="29" t="s">
        <v>138</v>
      </c>
      <c r="N18" s="30" t="s">
        <v>139</v>
      </c>
      <c r="O18" s="28" t="s">
        <v>137</v>
      </c>
      <c r="P18" s="29" t="s">
        <v>138</v>
      </c>
      <c r="Q18" s="30" t="s">
        <v>139</v>
      </c>
      <c r="R18" s="28" t="s">
        <v>137</v>
      </c>
      <c r="S18" s="29" t="s">
        <v>138</v>
      </c>
      <c r="T18" s="31" t="s">
        <v>139</v>
      </c>
      <c r="W18" s="482">
        <v>300</v>
      </c>
      <c r="X18" s="1225" t="s">
        <v>299</v>
      </c>
      <c r="Y18" s="1225"/>
      <c r="Z18" s="1225"/>
      <c r="AA18" s="482"/>
      <c r="AB18" s="1225" t="s">
        <v>322</v>
      </c>
      <c r="AC18" s="1225"/>
      <c r="AD18" s="1225"/>
      <c r="AE18" s="481"/>
      <c r="AF18" s="481"/>
    </row>
    <row r="19" spans="1:32" x14ac:dyDescent="0.25">
      <c r="A19" s="1229" t="s">
        <v>145</v>
      </c>
      <c r="B19" s="36" t="s">
        <v>126</v>
      </c>
      <c r="C19" s="130"/>
      <c r="D19" s="127"/>
      <c r="E19" s="128"/>
      <c r="F19" s="126"/>
      <c r="G19" s="127"/>
      <c r="H19" s="128"/>
      <c r="I19" s="126"/>
      <c r="J19" s="127"/>
      <c r="K19" s="128"/>
      <c r="L19" s="119">
        <f t="shared" ref="L19:T19" si="2">L20/1000</f>
        <v>1.3434300000000001E-5</v>
      </c>
      <c r="M19" s="120">
        <f t="shared" si="2"/>
        <v>0</v>
      </c>
      <c r="N19" s="121">
        <f t="shared" si="2"/>
        <v>0</v>
      </c>
      <c r="O19" s="132">
        <f t="shared" si="2"/>
        <v>6.7171500000000003E-4</v>
      </c>
      <c r="P19" s="133">
        <f t="shared" si="2"/>
        <v>5.3737199999999994E-4</v>
      </c>
      <c r="Q19" s="134">
        <f t="shared" si="2"/>
        <v>5.3737199999999994E-4</v>
      </c>
      <c r="R19" s="132">
        <f t="shared" si="2"/>
        <v>6.7171500000000003E-4</v>
      </c>
      <c r="S19" s="133">
        <f t="shared" si="2"/>
        <v>5.3737199999999994E-4</v>
      </c>
      <c r="T19" s="134">
        <f t="shared" si="2"/>
        <v>5.3737199999999994E-4</v>
      </c>
      <c r="W19" s="481"/>
      <c r="X19" s="481" t="s">
        <v>602</v>
      </c>
      <c r="Y19" s="481" t="s">
        <v>603</v>
      </c>
      <c r="Z19" s="481" t="s">
        <v>571</v>
      </c>
      <c r="AA19" s="481"/>
      <c r="AB19" s="481" t="s">
        <v>602</v>
      </c>
      <c r="AC19" s="481" t="s">
        <v>603</v>
      </c>
      <c r="AD19" s="481" t="s">
        <v>571</v>
      </c>
      <c r="AE19" s="481"/>
      <c r="AF19" s="481"/>
    </row>
    <row r="20" spans="1:32" x14ac:dyDescent="0.25">
      <c r="A20" s="1230"/>
      <c r="B20" s="36" t="s">
        <v>234</v>
      </c>
      <c r="C20" s="223">
        <f>C22/($C$7/1000)</f>
        <v>1.4200353809093647</v>
      </c>
      <c r="D20" s="224">
        <f>D22/($D$7/1000)</f>
        <v>2.2032586526456188</v>
      </c>
      <c r="E20" s="225">
        <f>E22/($E$7/1000)</f>
        <v>2.174676156583629</v>
      </c>
      <c r="F20" s="33">
        <f>F22/($C$7/1000)</f>
        <v>6.5868714242697985E-4</v>
      </c>
      <c r="G20" s="224">
        <f>G22/($D$7/1000)</f>
        <v>2.4816012532086328E-3</v>
      </c>
      <c r="H20" s="225">
        <f>H22/($E$7/1000)</f>
        <v>6.2206405693950185E-3</v>
      </c>
      <c r="I20" s="33">
        <f>I22/($C$7/1000)</f>
        <v>6.417494730502861E-2</v>
      </c>
      <c r="J20" s="224">
        <f>J22/($D$7/1000)</f>
        <v>4.1721921069570032E-2</v>
      </c>
      <c r="K20" s="225">
        <f>K22/($E$7/1000)</f>
        <v>4.619217081850531E-2</v>
      </c>
      <c r="L20" s="33">
        <f>'CHP Fuel Use, CEMS Data'!C49</f>
        <v>1.3434300000000001E-2</v>
      </c>
      <c r="M20" s="34">
        <f>'CHP Fuel Use, CEMS Data'!E49</f>
        <v>0</v>
      </c>
      <c r="N20" s="35">
        <f>'CHP Fuel Use, CEMS Data'!G49</f>
        <v>0</v>
      </c>
      <c r="O20" s="33">
        <f>'CHP Fuel Use, CEMS Data'!C51</f>
        <v>0.67171500000000006</v>
      </c>
      <c r="P20" s="34">
        <f>'CHP Fuel Use, CEMS Data'!E51</f>
        <v>0.53737199999999996</v>
      </c>
      <c r="Q20" s="35">
        <f>'CHP Fuel Use, CEMS Data'!G51</f>
        <v>0.53737199999999996</v>
      </c>
      <c r="R20" s="33">
        <f t="shared" ref="R20:T21" si="3">O20</f>
        <v>0.67171500000000006</v>
      </c>
      <c r="S20" s="34">
        <f t="shared" si="3"/>
        <v>0.53737199999999996</v>
      </c>
      <c r="T20" s="35">
        <f t="shared" si="3"/>
        <v>0.53737199999999996</v>
      </c>
      <c r="W20" s="481" t="s">
        <v>60</v>
      </c>
      <c r="X20" s="485">
        <f>P34</f>
        <v>0.51243694800000006</v>
      </c>
      <c r="Y20" s="485">
        <f>P36</f>
        <v>18.625897995634055</v>
      </c>
      <c r="Z20" s="484">
        <f>P31</f>
        <v>6.18</v>
      </c>
      <c r="AA20" s="481"/>
      <c r="AB20" s="486">
        <f>P25</f>
        <v>3.4646791013999992E-2</v>
      </c>
      <c r="AC20" s="486">
        <f>P27</f>
        <v>2.0511539999999999</v>
      </c>
      <c r="AD20" s="486">
        <f>P20</f>
        <v>0.53737199999999996</v>
      </c>
      <c r="AE20" s="481"/>
      <c r="AF20" s="486">
        <f t="shared" ref="AF20:AF26" si="4">AB20+X20</f>
        <v>0.54708373901400009</v>
      </c>
    </row>
    <row r="21" spans="1:32" x14ac:dyDescent="0.25">
      <c r="A21" s="1230"/>
      <c r="B21" s="36" t="s">
        <v>127</v>
      </c>
      <c r="C21" s="54"/>
      <c r="D21" s="55"/>
      <c r="E21" s="56"/>
      <c r="F21" s="54"/>
      <c r="G21" s="55"/>
      <c r="H21" s="56"/>
      <c r="I21" s="54"/>
      <c r="J21" s="55"/>
      <c r="K21" s="56"/>
      <c r="L21" s="37">
        <f>'CHP Fuel Use, CEMS Data'!B49</f>
        <v>1E-4</v>
      </c>
      <c r="M21" s="38">
        <f>'CHP Fuel Use, CEMS Data'!D49</f>
        <v>0</v>
      </c>
      <c r="N21" s="39">
        <f>'CHP Fuel Use, CEMS Data'!F49</f>
        <v>0</v>
      </c>
      <c r="O21" s="37">
        <f>'CHP Fuel Use, CEMS Data'!B51</f>
        <v>5.0000000000000001E-3</v>
      </c>
      <c r="P21" s="38">
        <f>'CHP Fuel Use, CEMS Data'!D51</f>
        <v>4.0000000000000001E-3</v>
      </c>
      <c r="Q21" s="39">
        <f>'CHP Fuel Use, CEMS Data'!F51</f>
        <v>4.0000000000000001E-3</v>
      </c>
      <c r="R21" s="33">
        <f t="shared" si="3"/>
        <v>5.0000000000000001E-3</v>
      </c>
      <c r="S21" s="34">
        <f t="shared" si="3"/>
        <v>4.0000000000000001E-3</v>
      </c>
      <c r="T21" s="35">
        <f t="shared" si="3"/>
        <v>4.0000000000000001E-3</v>
      </c>
      <c r="W21" s="481" t="s">
        <v>61</v>
      </c>
      <c r="X21" s="485">
        <f>S34</f>
        <v>0.51243694800000006</v>
      </c>
      <c r="Y21" s="485">
        <f>S36</f>
        <v>18.625897995634055</v>
      </c>
      <c r="Z21" s="484">
        <f>S31</f>
        <v>6.18</v>
      </c>
      <c r="AA21" s="481"/>
      <c r="AB21" s="486">
        <f>S25</f>
        <v>3.4646791013999992E-2</v>
      </c>
      <c r="AC21" s="486">
        <f>S27</f>
        <v>2.0511539999999999</v>
      </c>
      <c r="AD21" s="486">
        <f>S20</f>
        <v>0.53737199999999996</v>
      </c>
      <c r="AE21" s="481"/>
      <c r="AF21" s="486">
        <f t="shared" si="4"/>
        <v>0.54708373901400009</v>
      </c>
    </row>
    <row r="22" spans="1:32" x14ac:dyDescent="0.25">
      <c r="A22" s="1230"/>
      <c r="B22" s="36" t="s">
        <v>159</v>
      </c>
      <c r="C22" s="57">
        <f>'CHP Fuel Use, CEMS Data'!D39</f>
        <v>150.91</v>
      </c>
      <c r="D22" s="58">
        <f>'CHP Fuel Use, CEMS Data'!K39</f>
        <v>284.10799999999995</v>
      </c>
      <c r="E22" s="59">
        <f>'CHP Fuel Use, CEMS Data'!R39</f>
        <v>152.77099999999993</v>
      </c>
      <c r="F22" s="57">
        <f>'CHP Fuel Use, CEMS Data'!B39</f>
        <v>7.0000000000000007E-2</v>
      </c>
      <c r="G22" s="58">
        <f>'CHP Fuel Use, CEMS Data'!I39</f>
        <v>0.32</v>
      </c>
      <c r="H22" s="59">
        <f>'CHP Fuel Use, CEMS Data'!P39</f>
        <v>0.43700000000000006</v>
      </c>
      <c r="I22" s="57">
        <f>'CHP Fuel Use, CEMS Data'!C39</f>
        <v>6.82</v>
      </c>
      <c r="J22" s="58">
        <f>'CHP Fuel Use, CEMS Data'!J39</f>
        <v>5.3799999999999866</v>
      </c>
      <c r="K22" s="59">
        <f>'CHP Fuel Use, CEMS Data'!Q39</f>
        <v>3.2449999999999979</v>
      </c>
      <c r="L22" s="54"/>
      <c r="M22" s="55"/>
      <c r="N22" s="56"/>
      <c r="O22" s="54"/>
      <c r="P22" s="55"/>
      <c r="Q22" s="56"/>
      <c r="R22" s="54"/>
      <c r="S22" s="55"/>
      <c r="T22" s="56"/>
      <c r="W22" s="481" t="s">
        <v>183</v>
      </c>
      <c r="X22" s="485">
        <f>D51</f>
        <v>5.1243694800000003E-2</v>
      </c>
      <c r="Y22" s="485">
        <f>D55</f>
        <v>0.99724151617384404</v>
      </c>
      <c r="Z22" s="484">
        <f>D48</f>
        <v>0.61799999999999999</v>
      </c>
      <c r="AA22" s="481"/>
      <c r="AB22" s="485">
        <f>D46</f>
        <v>1.379109555E-2</v>
      </c>
      <c r="AC22" s="485">
        <f>D53</f>
        <v>0.62111000767762736</v>
      </c>
      <c r="AD22" s="486">
        <f>D49</f>
        <v>0.21389999999999998</v>
      </c>
      <c r="AE22" s="481"/>
      <c r="AF22" s="486">
        <f t="shared" si="4"/>
        <v>6.503479035000001E-2</v>
      </c>
    </row>
    <row r="23" spans="1:32" ht="15.75" thickBot="1" x14ac:dyDescent="0.3">
      <c r="A23" s="1230"/>
      <c r="B23" s="49" t="s">
        <v>160</v>
      </c>
      <c r="C23" s="69">
        <f>C9/C7*C22</f>
        <v>0</v>
      </c>
      <c r="D23" s="194">
        <f>D9/D7*D22</f>
        <v>0</v>
      </c>
      <c r="E23" s="195">
        <f>E9/E7*E22</f>
        <v>0</v>
      </c>
      <c r="F23" s="63"/>
      <c r="G23" s="64"/>
      <c r="H23" s="65"/>
      <c r="I23" s="63"/>
      <c r="J23" s="64"/>
      <c r="K23" s="65"/>
      <c r="L23" s="44">
        <f>L19*C9</f>
        <v>0</v>
      </c>
      <c r="M23" s="45">
        <f>M19*D9</f>
        <v>0</v>
      </c>
      <c r="N23" s="46">
        <f>N19*E9</f>
        <v>0</v>
      </c>
      <c r="O23" s="63"/>
      <c r="P23" s="64"/>
      <c r="Q23" s="65"/>
      <c r="R23" s="63"/>
      <c r="S23" s="64"/>
      <c r="T23" s="65"/>
      <c r="W23" s="481" t="s">
        <v>601</v>
      </c>
      <c r="X23" s="483">
        <f>D34</f>
        <v>0.41331950000000006</v>
      </c>
      <c r="Y23" s="483">
        <f>D36</f>
        <v>9.2968644572335783</v>
      </c>
      <c r="Z23" s="484">
        <f>D31</f>
        <v>4.9846415641363944</v>
      </c>
      <c r="AA23" s="486"/>
      <c r="AB23" s="485">
        <f>D25</f>
        <v>0.14205399999999999</v>
      </c>
      <c r="AC23" s="485">
        <f>D27</f>
        <v>2.0511539999999999</v>
      </c>
      <c r="AD23" s="486">
        <f>D20</f>
        <v>2.2032586526456188</v>
      </c>
      <c r="AE23" s="481"/>
      <c r="AF23" s="486">
        <f t="shared" si="4"/>
        <v>0.55537350000000008</v>
      </c>
    </row>
    <row r="24" spans="1:32" ht="15.75" thickTop="1" x14ac:dyDescent="0.25">
      <c r="A24" s="1230"/>
      <c r="B24" s="47" t="s">
        <v>128</v>
      </c>
      <c r="C24" s="70">
        <f t="shared" ref="C24:K24" si="5">C22</f>
        <v>150.91</v>
      </c>
      <c r="D24" s="87">
        <f t="shared" si="5"/>
        <v>284.10799999999995</v>
      </c>
      <c r="E24" s="88">
        <f t="shared" si="5"/>
        <v>152.77099999999993</v>
      </c>
      <c r="F24" s="70">
        <f t="shared" si="5"/>
        <v>7.0000000000000007E-2</v>
      </c>
      <c r="G24" s="87">
        <f t="shared" si="5"/>
        <v>0.32</v>
      </c>
      <c r="H24" s="88">
        <f t="shared" si="5"/>
        <v>0.43700000000000006</v>
      </c>
      <c r="I24" s="70">
        <f t="shared" si="5"/>
        <v>6.82</v>
      </c>
      <c r="J24" s="87">
        <f t="shared" si="5"/>
        <v>5.3799999999999866</v>
      </c>
      <c r="K24" s="88">
        <f t="shared" si="5"/>
        <v>3.2449999999999979</v>
      </c>
      <c r="L24" s="89">
        <f>L19*C7</f>
        <v>1.4276899296000001</v>
      </c>
      <c r="M24" s="85">
        <f>M19*D7</f>
        <v>0</v>
      </c>
      <c r="N24" s="86">
        <f>E7*N19</f>
        <v>0</v>
      </c>
      <c r="O24" s="70">
        <f>O19*C7</f>
        <v>71.38449648000001</v>
      </c>
      <c r="P24" s="87">
        <f>P19*D7</f>
        <v>69.293582027999989</v>
      </c>
      <c r="Q24" s="88">
        <f>Q19*E7</f>
        <v>37.750382999999992</v>
      </c>
      <c r="R24" s="70">
        <f>R19*C7</f>
        <v>71.38449648000001</v>
      </c>
      <c r="S24" s="87">
        <f>S19*D7</f>
        <v>69.293582027999989</v>
      </c>
      <c r="T24" s="88">
        <f>T19*E7</f>
        <v>37.750382999999992</v>
      </c>
      <c r="W24" s="481" t="s">
        <v>1</v>
      </c>
      <c r="X24" s="485">
        <v>3.0000000000000001E-3</v>
      </c>
      <c r="Y24" s="483">
        <f>G36</f>
        <v>17.178289343123637</v>
      </c>
      <c r="Z24" s="484">
        <f>G31</f>
        <v>1.8922171864937418E-2</v>
      </c>
      <c r="AA24" s="481"/>
      <c r="AB24" s="485">
        <f>G25</f>
        <v>1.6000000000000001E-4</v>
      </c>
      <c r="AC24" s="485">
        <f>G27</f>
        <v>2.7949999999999999E-2</v>
      </c>
      <c r="AD24" s="486">
        <f>G20</f>
        <v>2.4816012532086328E-3</v>
      </c>
      <c r="AE24" s="481"/>
      <c r="AF24" s="486">
        <f t="shared" si="4"/>
        <v>3.16E-3</v>
      </c>
    </row>
    <row r="25" spans="1:32" s="168" customFormat="1" x14ac:dyDescent="0.25">
      <c r="A25" s="1230"/>
      <c r="B25" s="179" t="s">
        <v>129</v>
      </c>
      <c r="C25" s="180">
        <f t="shared" ref="C25:K25" si="6">C24/2000</f>
        <v>7.5454999999999994E-2</v>
      </c>
      <c r="D25" s="181">
        <f t="shared" si="6"/>
        <v>0.14205399999999999</v>
      </c>
      <c r="E25" s="182">
        <f t="shared" si="6"/>
        <v>7.6385499999999967E-2</v>
      </c>
      <c r="F25" s="183">
        <f t="shared" si="6"/>
        <v>3.5000000000000004E-5</v>
      </c>
      <c r="G25" s="439">
        <f t="shared" si="6"/>
        <v>1.6000000000000001E-4</v>
      </c>
      <c r="H25" s="185">
        <f t="shared" si="6"/>
        <v>2.1850000000000003E-4</v>
      </c>
      <c r="I25" s="180">
        <f t="shared" si="6"/>
        <v>3.4100000000000003E-3</v>
      </c>
      <c r="J25" s="181">
        <f t="shared" si="6"/>
        <v>2.6899999999999932E-3</v>
      </c>
      <c r="K25" s="185">
        <f t="shared" si="6"/>
        <v>1.6224999999999989E-3</v>
      </c>
      <c r="L25" s="183">
        <f t="shared" ref="L25:T25" si="7">L24/2000</f>
        <v>7.1384496480000003E-4</v>
      </c>
      <c r="M25" s="184">
        <f t="shared" si="7"/>
        <v>0</v>
      </c>
      <c r="N25" s="185">
        <f t="shared" si="7"/>
        <v>0</v>
      </c>
      <c r="O25" s="183">
        <f t="shared" si="7"/>
        <v>3.5692248240000002E-2</v>
      </c>
      <c r="P25" s="184">
        <f t="shared" si="7"/>
        <v>3.4646791013999992E-2</v>
      </c>
      <c r="Q25" s="185">
        <f t="shared" si="7"/>
        <v>1.8875191499999996E-2</v>
      </c>
      <c r="R25" s="183">
        <f t="shared" si="7"/>
        <v>3.5692248240000002E-2</v>
      </c>
      <c r="S25" s="184">
        <f t="shared" si="7"/>
        <v>3.4646791013999992E-2</v>
      </c>
      <c r="T25" s="185">
        <f t="shared" si="7"/>
        <v>1.8875191499999996E-2</v>
      </c>
      <c r="W25" s="481" t="s">
        <v>2</v>
      </c>
      <c r="X25" s="485">
        <f>M34</f>
        <v>0.17081231600000005</v>
      </c>
      <c r="Y25" s="485">
        <f>M36</f>
        <v>2.6056955745187538</v>
      </c>
      <c r="Z25" s="484">
        <f>M31</f>
        <v>2.06</v>
      </c>
      <c r="AA25" s="481"/>
      <c r="AB25" s="486">
        <f>M25</f>
        <v>0</v>
      </c>
      <c r="AC25" s="486">
        <f>M27</f>
        <v>0</v>
      </c>
      <c r="AD25" s="484">
        <f>M21</f>
        <v>0</v>
      </c>
      <c r="AE25" s="481"/>
      <c r="AF25" s="486">
        <f t="shared" si="4"/>
        <v>0.17081231600000005</v>
      </c>
    </row>
    <row r="26" spans="1:32" x14ac:dyDescent="0.25">
      <c r="A26" s="1230"/>
      <c r="B26" s="157" t="s">
        <v>130</v>
      </c>
      <c r="C26" s="158">
        <f>C5*5088*'CHP Fuel Use, CEMS Data'!B47</f>
        <v>4764.1996800000006</v>
      </c>
      <c r="D26" s="216">
        <f>D5*6570*'CHP Fuel Use, CEMS Data'!D47</f>
        <v>4102.308</v>
      </c>
      <c r="E26" s="217">
        <f>E5*6570*'CHP Fuel Use, CEMS Data'!F47</f>
        <v>4102.308</v>
      </c>
      <c r="F26" s="158">
        <f>C5*5088*'CHP Fuel Use, CEMS Data'!B48</f>
        <v>4.2492581315427156</v>
      </c>
      <c r="G26" s="159">
        <v>55.9</v>
      </c>
      <c r="H26" s="160">
        <f>E5*6570*'CHP Fuel Use, CEMS Data'!F48</f>
        <v>20.51154</v>
      </c>
      <c r="I26" s="158">
        <f>C5*5088*'CHP Fuel Use, CEMS Data'!B50</f>
        <v>88.225920000000016</v>
      </c>
      <c r="J26" s="159">
        <f>D5*6570*'CHP Fuel Use, CEMS Data'!D50</f>
        <v>1025.577</v>
      </c>
      <c r="K26" s="160">
        <f>E5*6570*'CHP Fuel Use, CEMS Data'!F50</f>
        <v>1025.577</v>
      </c>
      <c r="L26" s="158">
        <f>L21*5088*C5</f>
        <v>88.225920000000002</v>
      </c>
      <c r="M26" s="159">
        <f>M21*6570*D5</f>
        <v>0</v>
      </c>
      <c r="N26" s="160">
        <f>N21*6570*E5</f>
        <v>0</v>
      </c>
      <c r="O26" s="158">
        <f>O21*5088*$C$5</f>
        <v>4411.2960000000003</v>
      </c>
      <c r="P26" s="159">
        <f>P21*6570*D5</f>
        <v>4102.308</v>
      </c>
      <c r="Q26" s="160">
        <f>Q21*6570*E5</f>
        <v>4102.308</v>
      </c>
      <c r="R26" s="158">
        <f>R21*5088*C$5</f>
        <v>4411.2960000000003</v>
      </c>
      <c r="S26" s="159">
        <f>S21*6570*D$5</f>
        <v>4102.308</v>
      </c>
      <c r="T26" s="160">
        <f>T21*6570*E$5</f>
        <v>4102.308</v>
      </c>
      <c r="U26" s="168"/>
      <c r="W26" s="481" t="s">
        <v>102</v>
      </c>
      <c r="X26" s="485">
        <f>J34</f>
        <v>9.388499999999975E-3</v>
      </c>
      <c r="Y26" s="483">
        <f>J36</f>
        <v>0.64338162333796389</v>
      </c>
      <c r="Z26" s="484">
        <f>J31</f>
        <v>0.11322550067174282</v>
      </c>
      <c r="AA26" s="481"/>
      <c r="AB26" s="485">
        <f>J25</f>
        <v>2.6899999999999932E-3</v>
      </c>
      <c r="AC26" s="485">
        <f>J27</f>
        <v>0.51278849999999998</v>
      </c>
      <c r="AD26" s="486">
        <f>J20</f>
        <v>4.1721921069570032E-2</v>
      </c>
      <c r="AE26" s="481"/>
      <c r="AF26" s="486">
        <f t="shared" si="4"/>
        <v>1.2078499999999968E-2</v>
      </c>
    </row>
    <row r="27" spans="1:32" x14ac:dyDescent="0.25">
      <c r="A27" s="1230"/>
      <c r="B27" s="157" t="s">
        <v>131</v>
      </c>
      <c r="C27" s="161">
        <f t="shared" ref="C27:T27" si="8">C26/2000</f>
        <v>2.3820998400000004</v>
      </c>
      <c r="D27" s="162">
        <f t="shared" si="8"/>
        <v>2.0511539999999999</v>
      </c>
      <c r="E27" s="163">
        <f t="shared" si="8"/>
        <v>2.0511539999999999</v>
      </c>
      <c r="F27" s="161">
        <f t="shared" si="8"/>
        <v>2.1246290657713578E-3</v>
      </c>
      <c r="G27" s="162">
        <f t="shared" si="8"/>
        <v>2.7949999999999999E-2</v>
      </c>
      <c r="H27" s="163">
        <f t="shared" si="8"/>
        <v>1.0255770000000001E-2</v>
      </c>
      <c r="I27" s="161">
        <f t="shared" si="8"/>
        <v>4.4112960000000007E-2</v>
      </c>
      <c r="J27" s="162">
        <f t="shared" si="8"/>
        <v>0.51278849999999998</v>
      </c>
      <c r="K27" s="163">
        <f t="shared" si="8"/>
        <v>0.51278849999999998</v>
      </c>
      <c r="L27" s="161">
        <f t="shared" si="8"/>
        <v>4.411296E-2</v>
      </c>
      <c r="M27" s="162">
        <f t="shared" si="8"/>
        <v>0</v>
      </c>
      <c r="N27" s="163">
        <f t="shared" si="8"/>
        <v>0</v>
      </c>
      <c r="O27" s="161">
        <f t="shared" si="8"/>
        <v>2.2056480000000001</v>
      </c>
      <c r="P27" s="162">
        <f t="shared" si="8"/>
        <v>2.0511539999999999</v>
      </c>
      <c r="Q27" s="163">
        <f t="shared" si="8"/>
        <v>2.0511539999999999</v>
      </c>
      <c r="R27" s="161">
        <f t="shared" si="8"/>
        <v>2.2056480000000001</v>
      </c>
      <c r="S27" s="162">
        <f t="shared" si="8"/>
        <v>2.0511539999999999</v>
      </c>
      <c r="T27" s="163">
        <f t="shared" si="8"/>
        <v>2.0511539999999999</v>
      </c>
      <c r="U27" s="168"/>
      <c r="W27" s="481"/>
      <c r="X27" s="481"/>
      <c r="Y27" s="481"/>
      <c r="Z27" s="484"/>
      <c r="AA27" s="481"/>
      <c r="AB27" s="481"/>
      <c r="AC27" s="481"/>
      <c r="AD27" s="481"/>
      <c r="AE27" s="481"/>
      <c r="AF27" s="481"/>
    </row>
    <row r="28" spans="1:32" ht="15.75" thickBot="1" x14ac:dyDescent="0.3">
      <c r="A28" s="1230"/>
      <c r="B28" s="41" t="s">
        <v>135</v>
      </c>
      <c r="C28" s="71">
        <f>C23</f>
        <v>0</v>
      </c>
      <c r="D28" s="196">
        <f>D23</f>
        <v>0</v>
      </c>
      <c r="E28" s="197">
        <f>E23</f>
        <v>0</v>
      </c>
      <c r="F28" s="66"/>
      <c r="G28" s="67"/>
      <c r="H28" s="68"/>
      <c r="I28" s="66"/>
      <c r="J28" s="67"/>
      <c r="K28" s="68"/>
      <c r="L28" s="72">
        <f>L23</f>
        <v>0</v>
      </c>
      <c r="M28" s="115">
        <f>M23</f>
        <v>0</v>
      </c>
      <c r="N28" s="116">
        <f>N23</f>
        <v>0</v>
      </c>
      <c r="O28" s="66"/>
      <c r="P28" s="67"/>
      <c r="Q28" s="68"/>
      <c r="R28" s="66"/>
      <c r="S28" s="67"/>
      <c r="T28" s="68"/>
      <c r="U28" s="168"/>
      <c r="W28" s="482">
        <v>400</v>
      </c>
      <c r="X28" s="1225" t="s">
        <v>299</v>
      </c>
      <c r="Y28" s="1225"/>
      <c r="Z28" s="1225"/>
      <c r="AA28" s="482"/>
      <c r="AB28" s="1225" t="s">
        <v>322</v>
      </c>
      <c r="AC28" s="1225"/>
      <c r="AD28" s="1225"/>
      <c r="AE28" s="481"/>
      <c r="AF28" s="481"/>
    </row>
    <row r="29" spans="1:32" ht="15.75" thickBot="1" x14ac:dyDescent="0.3">
      <c r="A29" s="1231"/>
      <c r="B29" s="43" t="s">
        <v>136</v>
      </c>
      <c r="C29" s="73">
        <f>C28/153</f>
        <v>0</v>
      </c>
      <c r="D29" s="117">
        <f>D28/153</f>
        <v>0</v>
      </c>
      <c r="E29" s="118">
        <f>E28/153</f>
        <v>0</v>
      </c>
      <c r="F29" s="90"/>
      <c r="G29" s="91"/>
      <c r="H29" s="92"/>
      <c r="I29" s="90"/>
      <c r="J29" s="91"/>
      <c r="K29" s="92"/>
      <c r="L29" s="73">
        <f>L28/120</f>
        <v>0</v>
      </c>
      <c r="M29" s="117">
        <f>M28/120</f>
        <v>0</v>
      </c>
      <c r="N29" s="118">
        <f>N28/120</f>
        <v>0</v>
      </c>
      <c r="O29" s="90"/>
      <c r="P29" s="91"/>
      <c r="Q29" s="92"/>
      <c r="R29" s="90"/>
      <c r="S29" s="91"/>
      <c r="T29" s="92"/>
      <c r="U29" s="168"/>
      <c r="W29" s="481"/>
      <c r="X29" s="481" t="s">
        <v>602</v>
      </c>
      <c r="Y29" s="481" t="s">
        <v>603</v>
      </c>
      <c r="Z29" s="481" t="s">
        <v>571</v>
      </c>
      <c r="AA29" s="481"/>
      <c r="AB29" s="481" t="s">
        <v>602</v>
      </c>
      <c r="AC29" s="481" t="s">
        <v>603</v>
      </c>
      <c r="AD29" s="481" t="s">
        <v>571</v>
      </c>
      <c r="AE29" s="481"/>
      <c r="AF29" s="481"/>
    </row>
    <row r="30" spans="1:32" x14ac:dyDescent="0.25">
      <c r="A30" s="1230" t="s">
        <v>147</v>
      </c>
      <c r="B30" s="42" t="s">
        <v>235</v>
      </c>
      <c r="C30" s="93"/>
      <c r="D30" s="94"/>
      <c r="E30" s="95"/>
      <c r="F30" s="93"/>
      <c r="G30" s="94"/>
      <c r="H30" s="95"/>
      <c r="I30" s="93"/>
      <c r="J30" s="94"/>
      <c r="K30" s="95"/>
      <c r="L30" s="96">
        <f>'CHP Fuel Use, CEMS Data'!B66</f>
        <v>1.6000000000000001E-3</v>
      </c>
      <c r="M30" s="22">
        <f>'CHP Fuel Use, CEMS Data'!D66</f>
        <v>2E-3</v>
      </c>
      <c r="N30" s="97">
        <f>'CHP Fuel Use, CEMS Data'!F66</f>
        <v>2E-3</v>
      </c>
      <c r="O30" s="96">
        <f>'CHP Fuel Use, CEMS Data'!B68</f>
        <v>0.01</v>
      </c>
      <c r="P30" s="22">
        <f>'CHP Fuel Use, CEMS Data'!D68</f>
        <v>6.0000000000000001E-3</v>
      </c>
      <c r="Q30" s="97">
        <f>'CHP Fuel Use, CEMS Data'!F68</f>
        <v>6.0000000000000001E-3</v>
      </c>
      <c r="R30" s="96">
        <f>'CHP Fuel Use, CEMS Data'!B68</f>
        <v>0.01</v>
      </c>
      <c r="S30" s="22">
        <f>'CHP Fuel Use, CEMS Data'!D68</f>
        <v>6.0000000000000001E-3</v>
      </c>
      <c r="T30" s="97">
        <f>'CHP Fuel Use, CEMS Data'!F68</f>
        <v>6.0000000000000001E-3</v>
      </c>
      <c r="U30" s="168"/>
      <c r="W30" s="481" t="s">
        <v>60</v>
      </c>
      <c r="X30" s="485">
        <f>Q34</f>
        <v>0.49149601800000009</v>
      </c>
      <c r="Y30" s="485">
        <f>Q36</f>
        <v>18.625897995634055</v>
      </c>
      <c r="Z30" s="484">
        <f>Q31</f>
        <v>6.18</v>
      </c>
      <c r="AA30" s="481"/>
      <c r="AB30" s="486">
        <f>Q25</f>
        <v>1.8875191499999996E-2</v>
      </c>
      <c r="AC30" s="486">
        <f>Q27</f>
        <v>2.0511539999999999</v>
      </c>
      <c r="AD30" s="486">
        <f>Q20</f>
        <v>0.53737199999999996</v>
      </c>
      <c r="AE30" s="481"/>
      <c r="AF30" s="486">
        <f t="shared" ref="AF30:AF35" si="9">AB30+X30</f>
        <v>0.51037120950000003</v>
      </c>
    </row>
    <row r="31" spans="1:32" x14ac:dyDescent="0.25">
      <c r="A31" s="1230"/>
      <c r="B31" s="42" t="s">
        <v>231</v>
      </c>
      <c r="C31" s="221">
        <f>C32/$C$11</f>
        <v>5.2290389601719012</v>
      </c>
      <c r="D31" s="239">
        <f>D32/$D$11</f>
        <v>4.9846415641363944</v>
      </c>
      <c r="E31" s="240">
        <f>E32/$E$11</f>
        <v>4.9731170965458391</v>
      </c>
      <c r="F31" s="221">
        <f>F32/$C$11</f>
        <v>1.4296112400825255E-2</v>
      </c>
      <c r="G31" s="239">
        <f>G32/$D$11</f>
        <v>1.8922171864937418E-2</v>
      </c>
      <c r="H31" s="240">
        <f>H32/$E$11</f>
        <v>4.5548792218292181E-2</v>
      </c>
      <c r="I31" s="221">
        <f>I32/$C$11</f>
        <v>0.18668400584326381</v>
      </c>
      <c r="J31" s="239">
        <f>J32/$D$11</f>
        <v>0.11322550067174282</v>
      </c>
      <c r="K31" s="240">
        <f>K32/$E$11</f>
        <v>0.15766357643206752</v>
      </c>
      <c r="L31" s="100">
        <f>L30*I5</f>
        <v>1.6480000000000001</v>
      </c>
      <c r="M31" s="99">
        <f>M30*I5</f>
        <v>2.06</v>
      </c>
      <c r="N31" s="101">
        <f>N30*I5</f>
        <v>2.06</v>
      </c>
      <c r="O31" s="100">
        <f>O30*I5</f>
        <v>10.3</v>
      </c>
      <c r="P31" s="99">
        <f>P30*I5</f>
        <v>6.18</v>
      </c>
      <c r="Q31" s="101">
        <f>Q30*I5</f>
        <v>6.18</v>
      </c>
      <c r="R31" s="100">
        <f>R30*I5</f>
        <v>10.3</v>
      </c>
      <c r="S31" s="99">
        <f>S30*I5</f>
        <v>6.18</v>
      </c>
      <c r="T31" s="101">
        <f>T30*I5</f>
        <v>6.18</v>
      </c>
      <c r="U31" s="168"/>
      <c r="W31" s="481" t="s">
        <v>61</v>
      </c>
      <c r="X31" s="485">
        <f>T34</f>
        <v>0.49149601800000009</v>
      </c>
      <c r="Y31" s="485">
        <f>T36</f>
        <v>18.625897995634055</v>
      </c>
      <c r="Z31" s="484">
        <f>T31</f>
        <v>6.18</v>
      </c>
      <c r="AA31" s="481"/>
      <c r="AB31" s="486">
        <f>T25</f>
        <v>1.8875191499999996E-2</v>
      </c>
      <c r="AC31" s="486">
        <f>T27</f>
        <v>2.0511539999999999</v>
      </c>
      <c r="AD31" s="486">
        <f>T20</f>
        <v>0.53737199999999996</v>
      </c>
      <c r="AE31" s="481"/>
      <c r="AF31" s="486">
        <f t="shared" si="9"/>
        <v>0.51037120950000003</v>
      </c>
    </row>
    <row r="32" spans="1:32" x14ac:dyDescent="0.25">
      <c r="A32" s="1230"/>
      <c r="B32" s="48" t="s">
        <v>159</v>
      </c>
      <c r="C32" s="52">
        <f>'CHP Fuel Use, CEMS Data'!D29</f>
        <v>1441.12</v>
      </c>
      <c r="D32" s="98">
        <f>'CHP Fuel Use, CEMS Data'!K29</f>
        <v>826.63900000000012</v>
      </c>
      <c r="E32" s="131">
        <f>'CHP Fuel Use, CEMS Data'!R29</f>
        <v>791.02500000000055</v>
      </c>
      <c r="F32" s="112">
        <f>'CHP Fuel Use, CEMS Data'!B29</f>
        <v>3.94</v>
      </c>
      <c r="G32" s="113">
        <f>'CHP Fuel Use, CEMS Data'!I29</f>
        <v>3.1380000000000003</v>
      </c>
      <c r="H32" s="114">
        <f>'CHP Fuel Use, CEMS Data'!P29</f>
        <v>7.2449999999999983</v>
      </c>
      <c r="I32" s="112">
        <f>'CHP Fuel Use, CEMS Data'!C29</f>
        <v>51.45</v>
      </c>
      <c r="J32" s="113">
        <f>'CHP Fuel Use, CEMS Data'!J29</f>
        <v>18.776999999999951</v>
      </c>
      <c r="K32" s="114">
        <f>'CHP Fuel Use, CEMS Data'!Q29</f>
        <v>25.077999999999946</v>
      </c>
      <c r="L32" s="218"/>
      <c r="M32" s="219"/>
      <c r="N32" s="220"/>
      <c r="O32" s="100"/>
      <c r="P32" s="99"/>
      <c r="Q32" s="101"/>
      <c r="R32" s="100"/>
      <c r="S32" s="99"/>
      <c r="T32" s="101"/>
      <c r="U32" s="168"/>
      <c r="W32" s="481" t="s">
        <v>183</v>
      </c>
      <c r="X32" s="485">
        <f>E51</f>
        <v>4.9149601799999998E-2</v>
      </c>
      <c r="Y32" s="485">
        <f>E55</f>
        <v>0.99724151617384404</v>
      </c>
      <c r="Z32" s="484">
        <f>E48</f>
        <v>0.61799999999999999</v>
      </c>
      <c r="AA32" s="481"/>
      <c r="AB32" s="485">
        <f>E46</f>
        <v>7.5132374999999996E-3</v>
      </c>
      <c r="AC32" s="485">
        <f>E53</f>
        <v>0.62111000767762736</v>
      </c>
      <c r="AD32" s="486">
        <f>E49</f>
        <v>0.21390000000000001</v>
      </c>
      <c r="AE32" s="481"/>
      <c r="AF32" s="486">
        <f t="shared" si="9"/>
        <v>5.6662839299999997E-2</v>
      </c>
    </row>
    <row r="33" spans="1:32" x14ac:dyDescent="0.25">
      <c r="A33" s="1230"/>
      <c r="B33" s="47" t="s">
        <v>132</v>
      </c>
      <c r="C33" s="102">
        <f>C32</f>
        <v>1441.12</v>
      </c>
      <c r="D33" s="103">
        <f>D32</f>
        <v>826.63900000000012</v>
      </c>
      <c r="E33" s="129">
        <f>E32</f>
        <v>791.02500000000055</v>
      </c>
      <c r="F33" s="102">
        <f t="shared" ref="F33:K33" si="10">F32</f>
        <v>3.94</v>
      </c>
      <c r="G33" s="103">
        <f t="shared" si="10"/>
        <v>3.1380000000000003</v>
      </c>
      <c r="H33" s="129">
        <f t="shared" si="10"/>
        <v>7.2449999999999983</v>
      </c>
      <c r="I33" s="102">
        <f t="shared" si="10"/>
        <v>51.45</v>
      </c>
      <c r="J33" s="103">
        <f t="shared" si="10"/>
        <v>18.776999999999951</v>
      </c>
      <c r="K33" s="129">
        <f t="shared" si="10"/>
        <v>25.077999999999946</v>
      </c>
      <c r="L33" s="104">
        <f>L30*C12</f>
        <v>454.1878112</v>
      </c>
      <c r="M33" s="122">
        <f>M30*D12</f>
        <v>341.62463200000008</v>
      </c>
      <c r="N33" s="123">
        <f>N30*E12</f>
        <v>327.66401200000007</v>
      </c>
      <c r="O33" s="138">
        <f>O30*C12</f>
        <v>2838.67382</v>
      </c>
      <c r="P33" s="139">
        <f>P30*D12</f>
        <v>1024.8738960000001</v>
      </c>
      <c r="Q33" s="140">
        <f>Q30*E12</f>
        <v>982.99203600000021</v>
      </c>
      <c r="R33" s="141">
        <f>R30*C12</f>
        <v>2838.67382</v>
      </c>
      <c r="S33" s="142">
        <f>S30*D12</f>
        <v>1024.8738960000001</v>
      </c>
      <c r="T33" s="143">
        <f>T30*E12</f>
        <v>982.99203600000021</v>
      </c>
      <c r="U33" s="168"/>
      <c r="W33" s="481" t="s">
        <v>601</v>
      </c>
      <c r="X33" s="483">
        <f>E34</f>
        <v>0.39551250000000027</v>
      </c>
      <c r="Y33" s="483">
        <f>E36</f>
        <v>9.2968644572335783</v>
      </c>
      <c r="Z33" s="484">
        <f>E31</f>
        <v>4.9731170965458391</v>
      </c>
      <c r="AA33" s="486"/>
      <c r="AB33" s="485">
        <f>E25</f>
        <v>7.6385499999999967E-2</v>
      </c>
      <c r="AC33" s="485">
        <f>E27</f>
        <v>2.0511539999999999</v>
      </c>
      <c r="AD33" s="486">
        <f>E20</f>
        <v>2.174676156583629</v>
      </c>
      <c r="AE33" s="481"/>
      <c r="AF33" s="486">
        <f t="shared" si="9"/>
        <v>0.47189800000000026</v>
      </c>
    </row>
    <row r="34" spans="1:32" s="168" customFormat="1" x14ac:dyDescent="0.25">
      <c r="A34" s="1230"/>
      <c r="B34" s="186" t="s">
        <v>133</v>
      </c>
      <c r="C34" s="187">
        <f>C33/2000</f>
        <v>0.72055999999999998</v>
      </c>
      <c r="D34" s="188">
        <f t="shared" ref="D34:T34" si="11">D33/2000</f>
        <v>0.41331950000000006</v>
      </c>
      <c r="E34" s="189">
        <f t="shared" si="11"/>
        <v>0.39551250000000027</v>
      </c>
      <c r="F34" s="187">
        <f t="shared" si="11"/>
        <v>1.97E-3</v>
      </c>
      <c r="G34" s="188">
        <f t="shared" si="11"/>
        <v>1.5690000000000001E-3</v>
      </c>
      <c r="H34" s="189">
        <f t="shared" si="11"/>
        <v>3.622499999999999E-3</v>
      </c>
      <c r="I34" s="187">
        <f t="shared" si="11"/>
        <v>2.5725000000000001E-2</v>
      </c>
      <c r="J34" s="188">
        <f t="shared" si="11"/>
        <v>9.388499999999975E-3</v>
      </c>
      <c r="K34" s="189">
        <f t="shared" si="11"/>
        <v>1.2538999999999974E-2</v>
      </c>
      <c r="L34" s="187">
        <f t="shared" si="11"/>
        <v>0.22709390560000001</v>
      </c>
      <c r="M34" s="188">
        <f t="shared" si="11"/>
        <v>0.17081231600000005</v>
      </c>
      <c r="N34" s="189">
        <f t="shared" si="11"/>
        <v>0.16383200600000003</v>
      </c>
      <c r="O34" s="187">
        <f t="shared" si="11"/>
        <v>1.41933691</v>
      </c>
      <c r="P34" s="188">
        <f t="shared" si="11"/>
        <v>0.51243694800000006</v>
      </c>
      <c r="Q34" s="189">
        <f t="shared" si="11"/>
        <v>0.49149601800000009</v>
      </c>
      <c r="R34" s="187">
        <f t="shared" si="11"/>
        <v>1.41933691</v>
      </c>
      <c r="S34" s="188">
        <f t="shared" si="11"/>
        <v>0.51243694800000006</v>
      </c>
      <c r="T34" s="189">
        <f t="shared" si="11"/>
        <v>0.49149601800000009</v>
      </c>
      <c r="W34" s="481" t="s">
        <v>1</v>
      </c>
      <c r="X34" s="485">
        <f>H34</f>
        <v>3.622499999999999E-3</v>
      </c>
      <c r="Y34" s="483">
        <f>H36</f>
        <v>17.178289343123637</v>
      </c>
      <c r="Z34" s="484">
        <f>H31</f>
        <v>4.5548792218292181E-2</v>
      </c>
      <c r="AA34" s="481"/>
      <c r="AB34" s="485">
        <f>H25</f>
        <v>2.1850000000000003E-4</v>
      </c>
      <c r="AC34" s="485">
        <f>H27</f>
        <v>1.0255770000000001E-2</v>
      </c>
      <c r="AD34" s="486">
        <f>H20</f>
        <v>6.2206405693950185E-3</v>
      </c>
      <c r="AE34" s="481"/>
      <c r="AF34" s="486">
        <f t="shared" si="9"/>
        <v>3.8409999999999989E-3</v>
      </c>
    </row>
    <row r="35" spans="1:32" x14ac:dyDescent="0.25">
      <c r="A35" s="1230"/>
      <c r="B35" s="157" t="s">
        <v>177</v>
      </c>
      <c r="C35" s="164">
        <f>P7*C13/100</f>
        <v>20612.542171065692</v>
      </c>
      <c r="D35" s="165">
        <f>P7*D13/100</f>
        <v>18593.728914467156</v>
      </c>
      <c r="E35" s="166">
        <f>P7*E13/100</f>
        <v>18593.728914467156</v>
      </c>
      <c r="F35" s="164">
        <f>P8*C13/100</f>
        <v>38086.842627505466</v>
      </c>
      <c r="G35" s="165">
        <f>P8*D13/100</f>
        <v>34356.578686247274</v>
      </c>
      <c r="H35" s="166">
        <f>P8*E13/100</f>
        <v>34356.578686247274</v>
      </c>
      <c r="I35" s="164">
        <f>P10*C13/100</f>
        <v>1426.4735066481446</v>
      </c>
      <c r="J35" s="165">
        <f>P10*D13/100</f>
        <v>1286.7632466759278</v>
      </c>
      <c r="K35" s="166">
        <f>P10*E13/100</f>
        <v>1286.7632466759278</v>
      </c>
      <c r="L35" s="164">
        <f>P9*C13/100</f>
        <v>5777.2177019249857</v>
      </c>
      <c r="M35" s="165">
        <f>P9*D13/100</f>
        <v>5211.3911490375076</v>
      </c>
      <c r="N35" s="166">
        <f>P9*E13/100</f>
        <v>5211.3911490375076</v>
      </c>
      <c r="O35" s="164">
        <f>P5*C13/100</f>
        <v>41296.408017463786</v>
      </c>
      <c r="P35" s="165">
        <f>P5*D13/100</f>
        <v>37251.795991268111</v>
      </c>
      <c r="Q35" s="166">
        <f>P5*E13/100</f>
        <v>37251.795991268111</v>
      </c>
      <c r="R35" s="164">
        <f>O35</f>
        <v>41296.408017463786</v>
      </c>
      <c r="S35" s="165">
        <f>P35</f>
        <v>37251.795991268111</v>
      </c>
      <c r="T35" s="166">
        <f>Q35</f>
        <v>37251.795991268111</v>
      </c>
      <c r="W35" s="481" t="s">
        <v>2</v>
      </c>
      <c r="X35" s="485">
        <f>N34</f>
        <v>0.16383200600000003</v>
      </c>
      <c r="Y35" s="485">
        <f>N36</f>
        <v>2.6056955745187538</v>
      </c>
      <c r="Z35" s="484">
        <f>N31</f>
        <v>2.06</v>
      </c>
      <c r="AA35" s="481"/>
      <c r="AB35" s="486">
        <f>N25</f>
        <v>0</v>
      </c>
      <c r="AC35" s="486">
        <f>N27</f>
        <v>0</v>
      </c>
      <c r="AD35" s="484">
        <f>N21</f>
        <v>0</v>
      </c>
      <c r="AE35" s="481"/>
      <c r="AF35" s="486">
        <f t="shared" si="9"/>
        <v>0.16383200600000003</v>
      </c>
    </row>
    <row r="36" spans="1:32" x14ac:dyDescent="0.25">
      <c r="A36" s="1230"/>
      <c r="B36" s="157" t="s">
        <v>178</v>
      </c>
      <c r="C36" s="164">
        <f>C35/2000</f>
        <v>10.306271085532845</v>
      </c>
      <c r="D36" s="165">
        <f t="shared" ref="D36:T36" si="12">D35/2000</f>
        <v>9.2968644572335783</v>
      </c>
      <c r="E36" s="166">
        <f t="shared" si="12"/>
        <v>9.2968644572335783</v>
      </c>
      <c r="F36" s="164">
        <f t="shared" si="12"/>
        <v>19.043421313752734</v>
      </c>
      <c r="G36" s="165">
        <f t="shared" si="12"/>
        <v>17.178289343123637</v>
      </c>
      <c r="H36" s="166">
        <f t="shared" si="12"/>
        <v>17.178289343123637</v>
      </c>
      <c r="I36" s="164">
        <f t="shared" si="12"/>
        <v>0.71323675332407233</v>
      </c>
      <c r="J36" s="165">
        <f t="shared" si="12"/>
        <v>0.64338162333796389</v>
      </c>
      <c r="K36" s="166">
        <f t="shared" si="12"/>
        <v>0.64338162333796389</v>
      </c>
      <c r="L36" s="164">
        <f t="shared" si="12"/>
        <v>2.888608850962493</v>
      </c>
      <c r="M36" s="165">
        <f t="shared" si="12"/>
        <v>2.6056955745187538</v>
      </c>
      <c r="N36" s="166">
        <f t="shared" si="12"/>
        <v>2.6056955745187538</v>
      </c>
      <c r="O36" s="164">
        <f t="shared" si="12"/>
        <v>20.648204008731891</v>
      </c>
      <c r="P36" s="165">
        <f t="shared" si="12"/>
        <v>18.625897995634055</v>
      </c>
      <c r="Q36" s="166">
        <f t="shared" si="12"/>
        <v>18.625897995634055</v>
      </c>
      <c r="R36" s="164">
        <f t="shared" si="12"/>
        <v>20.648204008731891</v>
      </c>
      <c r="S36" s="165">
        <f t="shared" si="12"/>
        <v>18.625897995634055</v>
      </c>
      <c r="T36" s="166">
        <f t="shared" si="12"/>
        <v>18.625897995634055</v>
      </c>
      <c r="W36" s="481" t="s">
        <v>102</v>
      </c>
      <c r="X36" s="485">
        <f>K34</f>
        <v>1.2538999999999974E-2</v>
      </c>
      <c r="Y36" s="483">
        <f>K36</f>
        <v>0.64338162333796389</v>
      </c>
      <c r="Z36" s="484">
        <f>K31</f>
        <v>0.15766357643206752</v>
      </c>
      <c r="AA36" s="481"/>
      <c r="AB36" s="485">
        <f>K25</f>
        <v>1.6224999999999989E-3</v>
      </c>
      <c r="AC36" s="485">
        <f>K27</f>
        <v>0.51278849999999998</v>
      </c>
      <c r="AD36" s="486">
        <f>K20</f>
        <v>4.619217081850531E-2</v>
      </c>
      <c r="AE36" s="481"/>
      <c r="AF36" s="486">
        <f>AB36+X36</f>
        <v>1.4161499999999973E-2</v>
      </c>
    </row>
    <row r="37" spans="1:32" x14ac:dyDescent="0.25">
      <c r="A37" s="1230"/>
      <c r="B37" s="41" t="s">
        <v>143</v>
      </c>
      <c r="C37" s="57">
        <f>C15/C12*C32</f>
        <v>0</v>
      </c>
      <c r="D37" s="58">
        <f>D15/D12*D32</f>
        <v>0</v>
      </c>
      <c r="E37" s="59">
        <f>E15/E12*E32</f>
        <v>0</v>
      </c>
      <c r="F37" s="54"/>
      <c r="G37" s="55"/>
      <c r="H37" s="56"/>
      <c r="I37" s="54"/>
      <c r="J37" s="55"/>
      <c r="K37" s="56"/>
      <c r="L37" s="105">
        <f>L30*C15</f>
        <v>0</v>
      </c>
      <c r="M37" s="106">
        <f>M30*D15</f>
        <v>0</v>
      </c>
      <c r="N37" s="107">
        <f>N30*E15</f>
        <v>0</v>
      </c>
      <c r="O37" s="100"/>
      <c r="P37" s="99"/>
      <c r="Q37" s="101"/>
      <c r="R37" s="100"/>
      <c r="S37" s="99"/>
      <c r="T37" s="101"/>
      <c r="W37" s="481"/>
      <c r="X37" s="481"/>
      <c r="Y37" s="481"/>
      <c r="Z37" s="481"/>
      <c r="AA37" s="481"/>
      <c r="AB37" s="481"/>
      <c r="AC37" s="481"/>
      <c r="AD37" s="481"/>
      <c r="AE37" s="481"/>
      <c r="AF37" s="481"/>
    </row>
    <row r="38" spans="1:32" ht="15.75" thickBot="1" x14ac:dyDescent="0.3">
      <c r="A38" s="1231"/>
      <c r="B38" s="50" t="s">
        <v>144</v>
      </c>
      <c r="C38" s="144">
        <f>C37/153</f>
        <v>0</v>
      </c>
      <c r="D38" s="145">
        <f>D37/153</f>
        <v>0</v>
      </c>
      <c r="E38" s="146">
        <f>E37/153</f>
        <v>0</v>
      </c>
      <c r="F38" s="135"/>
      <c r="G38" s="136"/>
      <c r="H38" s="137"/>
      <c r="I38" s="135"/>
      <c r="J38" s="136"/>
      <c r="K38" s="137"/>
      <c r="L38" s="108">
        <f>L37/153</f>
        <v>0</v>
      </c>
      <c r="M38" s="124">
        <f>M37/153</f>
        <v>0</v>
      </c>
      <c r="N38" s="125">
        <f>N37/153</f>
        <v>0</v>
      </c>
      <c r="O38" s="110"/>
      <c r="P38" s="109"/>
      <c r="Q38" s="111"/>
      <c r="R38" s="110"/>
      <c r="S38" s="109"/>
      <c r="T38" s="111"/>
      <c r="W38" s="481"/>
      <c r="X38" s="481"/>
      <c r="Y38" s="481"/>
      <c r="Z38" s="481"/>
      <c r="AA38" s="481"/>
      <c r="AB38" s="481"/>
      <c r="AC38" s="481"/>
      <c r="AD38" s="481"/>
      <c r="AE38" s="481"/>
      <c r="AF38" s="481"/>
    </row>
    <row r="39" spans="1:32" ht="15.75" thickBot="1" x14ac:dyDescent="0.3">
      <c r="A39" s="51"/>
      <c r="B39" s="23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32" x14ac:dyDescent="0.25">
      <c r="B40" s="23"/>
      <c r="C40" s="1226" t="s">
        <v>148</v>
      </c>
      <c r="D40" s="1236"/>
      <c r="E40" s="1237"/>
    </row>
    <row r="41" spans="1:32" ht="15.75" thickBot="1" x14ac:dyDescent="0.3">
      <c r="B41" s="23"/>
      <c r="C41" s="28" t="s">
        <v>137</v>
      </c>
      <c r="D41" s="29" t="s">
        <v>138</v>
      </c>
      <c r="E41" s="31" t="s">
        <v>139</v>
      </c>
    </row>
    <row r="42" spans="1:32" x14ac:dyDescent="0.25">
      <c r="B42" s="40" t="s">
        <v>140</v>
      </c>
      <c r="C42" s="32">
        <f>C7</f>
        <v>106272</v>
      </c>
      <c r="D42" s="206">
        <f>D7</f>
        <v>128949</v>
      </c>
      <c r="E42" s="207">
        <f>E7</f>
        <v>70250</v>
      </c>
    </row>
    <row r="43" spans="1:32" x14ac:dyDescent="0.25">
      <c r="B43" s="36" t="s">
        <v>149</v>
      </c>
      <c r="C43" s="52">
        <f>C42*$I$6</f>
        <v>757719.36</v>
      </c>
      <c r="D43" s="208">
        <f>D42*$I$6</f>
        <v>919406.37</v>
      </c>
      <c r="E43" s="209">
        <f>E42*$I$6</f>
        <v>500882.5</v>
      </c>
    </row>
    <row r="44" spans="1:32" x14ac:dyDescent="0.25">
      <c r="B44" s="36" t="s">
        <v>150</v>
      </c>
      <c r="C44" s="60">
        <v>1.5E-5</v>
      </c>
      <c r="D44" s="210">
        <v>1.5E-5</v>
      </c>
      <c r="E44" s="211">
        <v>1.5E-5</v>
      </c>
    </row>
    <row r="45" spans="1:32" x14ac:dyDescent="0.25">
      <c r="B45" s="41" t="s">
        <v>151</v>
      </c>
      <c r="C45" s="61">
        <f>C43*C44*2</f>
        <v>22.7315808</v>
      </c>
      <c r="D45" s="212">
        <f>D43*D44*2</f>
        <v>27.582191099999999</v>
      </c>
      <c r="E45" s="213">
        <f>E43*E44*2</f>
        <v>15.026475</v>
      </c>
    </row>
    <row r="46" spans="1:32" ht="15.75" thickBot="1" x14ac:dyDescent="0.3">
      <c r="B46" s="43" t="s">
        <v>152</v>
      </c>
      <c r="C46" s="62">
        <f>C45/2000</f>
        <v>1.1365790399999999E-2</v>
      </c>
      <c r="D46" s="214">
        <f>D45/2000</f>
        <v>1.379109555E-2</v>
      </c>
      <c r="E46" s="215">
        <f>E45/2000</f>
        <v>7.5132374999999996E-3</v>
      </c>
    </row>
    <row r="47" spans="1:32" x14ac:dyDescent="0.25">
      <c r="B47" s="199" t="s">
        <v>142</v>
      </c>
      <c r="C47" s="200">
        <v>5.9999999999999995E-4</v>
      </c>
      <c r="D47" s="201">
        <v>5.9999999999999995E-4</v>
      </c>
      <c r="E47" s="202">
        <v>5.9999999999999995E-4</v>
      </c>
    </row>
    <row r="48" spans="1:32" x14ac:dyDescent="0.25">
      <c r="B48" s="199" t="s">
        <v>232</v>
      </c>
      <c r="C48" s="222">
        <f>C47*I5</f>
        <v>0.61799999999999999</v>
      </c>
      <c r="D48" s="233">
        <f>D47*I5</f>
        <v>0.61799999999999999</v>
      </c>
      <c r="E48" s="234">
        <f>E47*I5</f>
        <v>0.61799999999999999</v>
      </c>
    </row>
    <row r="49" spans="2:10" x14ac:dyDescent="0.25">
      <c r="B49" s="199" t="s">
        <v>233</v>
      </c>
      <c r="C49" s="222">
        <f>C45/(C42/1000)</f>
        <v>0.21389999999999998</v>
      </c>
      <c r="D49" s="233">
        <f>D45/(D42/1000)</f>
        <v>0.21389999999999998</v>
      </c>
      <c r="E49" s="234">
        <f>E45/(E42/1000)</f>
        <v>0.21390000000000001</v>
      </c>
    </row>
    <row r="50" spans="2:10" x14ac:dyDescent="0.25">
      <c r="B50" s="198" t="s">
        <v>132</v>
      </c>
      <c r="C50" s="203">
        <f>C47*C12</f>
        <v>170.32042919999998</v>
      </c>
      <c r="D50" s="204">
        <f>D47*D12</f>
        <v>102.4873896</v>
      </c>
      <c r="E50" s="205">
        <f>E47*E12</f>
        <v>98.299203599999998</v>
      </c>
    </row>
    <row r="51" spans="2:10" x14ac:dyDescent="0.25">
      <c r="B51" s="198" t="s">
        <v>133</v>
      </c>
      <c r="C51" s="203">
        <f>C50/2000</f>
        <v>8.5160214599999992E-2</v>
      </c>
      <c r="D51" s="204">
        <f>D50/2000</f>
        <v>5.1243694800000003E-2</v>
      </c>
      <c r="E51" s="205">
        <f>E50/2000</f>
        <v>4.9149601799999998E-2</v>
      </c>
    </row>
    <row r="52" spans="2:10" x14ac:dyDescent="0.25">
      <c r="B52" s="157" t="s">
        <v>130</v>
      </c>
      <c r="C52" s="158">
        <f xml:space="preserve"> C6*5088*$I$6*C44*2</f>
        <v>1379.8907793888611</v>
      </c>
      <c r="D52" s="159">
        <f xml:space="preserve"> D6*5088*$I$6*D44*2</f>
        <v>1242.2200153552546</v>
      </c>
      <c r="E52" s="160">
        <f xml:space="preserve"> E6*5088*$I$6*E44*2</f>
        <v>1242.2200153552546</v>
      </c>
    </row>
    <row r="53" spans="2:10" x14ac:dyDescent="0.25">
      <c r="B53" s="157" t="s">
        <v>131</v>
      </c>
      <c r="C53" s="161">
        <f>C52/2000</f>
        <v>0.68994538969443053</v>
      </c>
      <c r="D53" s="162">
        <f>D52/2000</f>
        <v>0.62111000767762736</v>
      </c>
      <c r="E53" s="163">
        <f>E52/2000</f>
        <v>0.62111000767762736</v>
      </c>
    </row>
    <row r="54" spans="2:10" x14ac:dyDescent="0.25">
      <c r="B54" s="157" t="s">
        <v>177</v>
      </c>
      <c r="C54" s="164">
        <f>P6*C13/100</f>
        <v>2211.0339353046243</v>
      </c>
      <c r="D54" s="165">
        <f>P6*D13/100</f>
        <v>1994.4830323476881</v>
      </c>
      <c r="E54" s="166">
        <f>P6*E13/100</f>
        <v>1994.4830323476881</v>
      </c>
    </row>
    <row r="55" spans="2:10" ht="15.75" thickBot="1" x14ac:dyDescent="0.3">
      <c r="B55" s="235" t="s">
        <v>178</v>
      </c>
      <c r="C55" s="236">
        <f>C54/2000</f>
        <v>1.1055169676523122</v>
      </c>
      <c r="D55" s="237">
        <f>D54/2000</f>
        <v>0.99724151617384404</v>
      </c>
      <c r="E55" s="238">
        <f>E54/2000</f>
        <v>0.99724151617384404</v>
      </c>
    </row>
    <row r="56" spans="2:10" x14ac:dyDescent="0.25">
      <c r="B56" s="24" t="s">
        <v>79</v>
      </c>
    </row>
    <row r="57" spans="2:10" x14ac:dyDescent="0.25">
      <c r="B57" s="24" t="s">
        <v>80</v>
      </c>
    </row>
    <row r="58" spans="2:10" ht="15.75" x14ac:dyDescent="0.3">
      <c r="B58" s="24" t="s">
        <v>169</v>
      </c>
      <c r="D58" s="5"/>
      <c r="E58" s="5"/>
    </row>
    <row r="59" spans="2:10" x14ac:dyDescent="0.25">
      <c r="B59" s="24" t="s">
        <v>176</v>
      </c>
      <c r="D59" s="5"/>
      <c r="E59" s="5"/>
    </row>
    <row r="60" spans="2:10" x14ac:dyDescent="0.25">
      <c r="B60" s="24" t="s">
        <v>179</v>
      </c>
      <c r="D60" s="5"/>
      <c r="E60" s="5"/>
    </row>
    <row r="61" spans="2:10" x14ac:dyDescent="0.25">
      <c r="B61" s="4"/>
      <c r="D61" s="5"/>
      <c r="E61" s="5"/>
    </row>
    <row r="62" spans="2:10" x14ac:dyDescent="0.25">
      <c r="B62" s="4"/>
      <c r="C62" s="6"/>
      <c r="D62" s="5"/>
      <c r="E62" s="5"/>
      <c r="G62" s="3"/>
    </row>
    <row r="63" spans="2:10" x14ac:dyDescent="0.25">
      <c r="B63" s="4"/>
    </row>
    <row r="64" spans="2:10" x14ac:dyDescent="0.25">
      <c r="B64" s="4"/>
      <c r="J64" s="5"/>
    </row>
    <row r="65" spans="2:10" x14ac:dyDescent="0.25">
      <c r="B65" s="4"/>
      <c r="J65" s="5"/>
    </row>
    <row r="66" spans="2:10" x14ac:dyDescent="0.25">
      <c r="B66" s="4"/>
      <c r="J66" s="5"/>
    </row>
    <row r="67" spans="2:10" x14ac:dyDescent="0.25">
      <c r="J67" s="5"/>
    </row>
    <row r="68" spans="2:10" x14ac:dyDescent="0.25">
      <c r="B68" s="1"/>
      <c r="J68" s="5"/>
    </row>
    <row r="69" spans="2:10" x14ac:dyDescent="0.25">
      <c r="H69" s="6"/>
      <c r="J69" s="5"/>
    </row>
    <row r="72" spans="2:10" x14ac:dyDescent="0.25">
      <c r="C72" s="7"/>
    </row>
    <row r="73" spans="2:10" x14ac:dyDescent="0.25">
      <c r="C73" s="7"/>
    </row>
    <row r="74" spans="2:10" x14ac:dyDescent="0.25">
      <c r="C74" s="2"/>
    </row>
    <row r="76" spans="2:10" x14ac:dyDescent="0.25">
      <c r="B76" s="3"/>
      <c r="C76" s="3"/>
    </row>
    <row r="77" spans="2:10" x14ac:dyDescent="0.25">
      <c r="C77" s="3"/>
      <c r="E77" s="3"/>
    </row>
    <row r="78" spans="2:10" x14ac:dyDescent="0.25">
      <c r="C78" s="3"/>
      <c r="D78" s="3"/>
      <c r="E78" s="3"/>
    </row>
    <row r="79" spans="2:10" x14ac:dyDescent="0.25">
      <c r="E79" s="5"/>
    </row>
    <row r="80" spans="2:10" x14ac:dyDescent="0.25">
      <c r="E80" s="5"/>
    </row>
    <row r="81" spans="2:5" x14ac:dyDescent="0.25">
      <c r="E81" s="5"/>
    </row>
    <row r="82" spans="2:5" x14ac:dyDescent="0.25">
      <c r="E82" s="5"/>
    </row>
    <row r="83" spans="2:5" x14ac:dyDescent="0.25">
      <c r="E83" s="5"/>
    </row>
    <row r="84" spans="2:5" x14ac:dyDescent="0.25">
      <c r="B84" s="4"/>
      <c r="E84" s="5"/>
    </row>
    <row r="85" spans="2:5" x14ac:dyDescent="0.25">
      <c r="B85" s="4"/>
      <c r="C85" s="6"/>
      <c r="D85" s="6"/>
      <c r="E85" s="5"/>
    </row>
    <row r="86" spans="2:5" x14ac:dyDescent="0.25">
      <c r="B86" s="4"/>
    </row>
    <row r="87" spans="2:5" x14ac:dyDescent="0.25">
      <c r="B87" s="4"/>
    </row>
    <row r="88" spans="2:5" x14ac:dyDescent="0.25">
      <c r="B88" s="4"/>
    </row>
    <row r="89" spans="2:5" x14ac:dyDescent="0.25">
      <c r="B89" s="4"/>
    </row>
  </sheetData>
  <mergeCells count="25">
    <mergeCell ref="C40:E40"/>
    <mergeCell ref="A1:T1"/>
    <mergeCell ref="A2:T2"/>
    <mergeCell ref="C17:E17"/>
    <mergeCell ref="F17:H17"/>
    <mergeCell ref="I17:K17"/>
    <mergeCell ref="M5:N5"/>
    <mergeCell ref="M4:N4"/>
    <mergeCell ref="M6:N6"/>
    <mergeCell ref="M7:N7"/>
    <mergeCell ref="A3:A12"/>
    <mergeCell ref="L17:N17"/>
    <mergeCell ref="O17:Q17"/>
    <mergeCell ref="X8:Z8"/>
    <mergeCell ref="AB8:AD8"/>
    <mergeCell ref="R17:T17"/>
    <mergeCell ref="A19:A29"/>
    <mergeCell ref="A30:A38"/>
    <mergeCell ref="X18:Z18"/>
    <mergeCell ref="AB18:AD18"/>
    <mergeCell ref="X28:Z28"/>
    <mergeCell ref="AB28:AD28"/>
    <mergeCell ref="M8:N8"/>
    <mergeCell ref="M9:N9"/>
    <mergeCell ref="M10:N10"/>
  </mergeCells>
  <pageMargins left="0.45" right="0.45" top="0.25" bottom="0" header="0.3" footer="0.3"/>
  <pageSetup scale="4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16" zoomScale="70" zoomScaleNormal="70" workbookViewId="0">
      <selection activeCell="E10" sqref="E10"/>
    </sheetView>
  </sheetViews>
  <sheetFormatPr defaultRowHeight="15" x14ac:dyDescent="0.25"/>
  <cols>
    <col min="1" max="1" width="23.140625" customWidth="1"/>
    <col min="2" max="2" width="10.28515625" bestFit="1" customWidth="1"/>
    <col min="3" max="3" width="15.7109375" customWidth="1"/>
    <col min="4" max="4" width="11.85546875" customWidth="1"/>
    <col min="5" max="5" width="13.42578125" customWidth="1"/>
    <col min="6" max="6" width="14.28515625" customWidth="1"/>
    <col min="7" max="7" width="14.140625" customWidth="1"/>
    <col min="8" max="9" width="12" bestFit="1" customWidth="1"/>
  </cols>
  <sheetData>
    <row r="1" spans="1:8" x14ac:dyDescent="0.25">
      <c r="A1" s="1242" t="s">
        <v>239</v>
      </c>
      <c r="B1" s="1242"/>
      <c r="C1" s="1242"/>
      <c r="D1" s="1242"/>
      <c r="E1" s="1242"/>
      <c r="F1" s="1242"/>
    </row>
    <row r="2" spans="1:8" x14ac:dyDescent="0.25">
      <c r="A2" s="1242" t="s">
        <v>1005</v>
      </c>
      <c r="B2" s="1242"/>
      <c r="C2" s="1242"/>
      <c r="D2" s="1242"/>
      <c r="E2" s="1242"/>
      <c r="F2" s="1242"/>
    </row>
    <row r="4" spans="1:8" x14ac:dyDescent="0.25">
      <c r="A4" s="6" t="s">
        <v>240</v>
      </c>
      <c r="B4">
        <v>9.1300000000000008</v>
      </c>
      <c r="C4" t="s">
        <v>9</v>
      </c>
    </row>
    <row r="5" spans="1:8" x14ac:dyDescent="0.25">
      <c r="A5" s="6" t="s">
        <v>621</v>
      </c>
      <c r="B5" s="684">
        <v>205</v>
      </c>
      <c r="C5" t="s">
        <v>0</v>
      </c>
      <c r="F5" s="670" t="s">
        <v>1004</v>
      </c>
    </row>
    <row r="6" spans="1:8" x14ac:dyDescent="0.25">
      <c r="A6" s="6" t="s">
        <v>622</v>
      </c>
      <c r="B6" s="670">
        <v>26.5</v>
      </c>
      <c r="C6" t="s">
        <v>13</v>
      </c>
    </row>
    <row r="7" spans="1:8" x14ac:dyDescent="0.25">
      <c r="A7" s="6" t="s">
        <v>241</v>
      </c>
      <c r="B7" s="419">
        <f>B5/B6</f>
        <v>7.7358490566037732</v>
      </c>
      <c r="C7" t="s">
        <v>212</v>
      </c>
      <c r="D7" t="s">
        <v>214</v>
      </c>
      <c r="E7" s="15">
        <v>65.2</v>
      </c>
      <c r="F7" t="s">
        <v>212</v>
      </c>
    </row>
    <row r="8" spans="1:8" x14ac:dyDescent="0.25">
      <c r="B8" s="420" t="s">
        <v>211</v>
      </c>
      <c r="C8" t="s">
        <v>210</v>
      </c>
    </row>
    <row r="9" spans="1:8" x14ac:dyDescent="0.25">
      <c r="A9" s="6" t="s">
        <v>242</v>
      </c>
      <c r="B9" s="2">
        <f>'CHP Fuel Use, CEMS Data'!K48</f>
        <v>136761</v>
      </c>
      <c r="C9" t="s">
        <v>6</v>
      </c>
      <c r="D9" s="421"/>
    </row>
    <row r="10" spans="1:8" x14ac:dyDescent="0.25">
      <c r="A10" s="6" t="s">
        <v>245</v>
      </c>
      <c r="B10" s="25">
        <f>B9*B5/1000000</f>
        <v>28.036004999999999</v>
      </c>
      <c r="C10" t="s">
        <v>246</v>
      </c>
      <c r="D10" s="421"/>
    </row>
    <row r="11" spans="1:8" x14ac:dyDescent="0.25">
      <c r="B11" s="2"/>
      <c r="E11" s="53"/>
    </row>
    <row r="12" spans="1:8" x14ac:dyDescent="0.25">
      <c r="B12" s="422" t="s">
        <v>209</v>
      </c>
    </row>
    <row r="13" spans="1:8" ht="15.75" thickBot="1" x14ac:dyDescent="0.3">
      <c r="G13">
        <f>0.205*G16</f>
        <v>342.11500000000001</v>
      </c>
    </row>
    <row r="14" spans="1:8" x14ac:dyDescent="0.25">
      <c r="A14" s="784"/>
      <c r="B14" s="1243" t="s">
        <v>953</v>
      </c>
      <c r="C14" s="1244"/>
      <c r="D14" s="802" t="s">
        <v>7</v>
      </c>
      <c r="E14" s="784"/>
      <c r="F14" s="9" t="s">
        <v>38</v>
      </c>
      <c r="G14" s="784"/>
      <c r="H14" s="784"/>
    </row>
    <row r="15" spans="1:8" x14ac:dyDescent="0.25">
      <c r="A15" s="784"/>
      <c r="B15" s="803" t="s">
        <v>954</v>
      </c>
      <c r="C15" s="804" t="s">
        <v>208</v>
      </c>
      <c r="D15" s="805" t="s">
        <v>8</v>
      </c>
      <c r="E15" s="784"/>
      <c r="F15" s="783" t="s">
        <v>1058</v>
      </c>
      <c r="G15" s="783" t="s">
        <v>955</v>
      </c>
      <c r="H15" s="784"/>
    </row>
    <row r="16" spans="1:8" x14ac:dyDescent="0.25">
      <c r="A16" s="784" t="s">
        <v>12</v>
      </c>
      <c r="B16" s="639">
        <v>12.91</v>
      </c>
      <c r="C16" s="806">
        <f t="shared" ref="C16:C21" si="0">B16/$B$4</f>
        <v>1.4140197152245344</v>
      </c>
      <c r="D16" s="807">
        <f>SUM(B16*$B$6/2000)</f>
        <v>0.1710575</v>
      </c>
      <c r="E16" s="784">
        <f>B10*C16</f>
        <v>39.643463806133624</v>
      </c>
      <c r="F16" s="5">
        <f t="shared" ref="F16:F21" si="1">D16*2000/$B$10</f>
        <v>12.202701490458431</v>
      </c>
      <c r="G16" s="578">
        <f>F16*$B$9/1000</f>
        <v>1668.8536585365855</v>
      </c>
      <c r="H16" s="784"/>
    </row>
    <row r="17" spans="1:8" x14ac:dyDescent="0.25">
      <c r="A17" s="784" t="s">
        <v>1</v>
      </c>
      <c r="B17" s="639">
        <v>6.95</v>
      </c>
      <c r="C17" s="806">
        <f t="shared" si="0"/>
        <v>0.76122672508214673</v>
      </c>
      <c r="D17" s="807">
        <f>SUM(B17*$B$6/2000)</f>
        <v>9.2087500000000003E-2</v>
      </c>
      <c r="E17" s="784">
        <f>E16/2000</f>
        <v>1.9821731903066811E-2</v>
      </c>
      <c r="F17" s="5">
        <f t="shared" si="1"/>
        <v>6.5692312438951275</v>
      </c>
      <c r="G17" s="578">
        <f t="shared" ref="G17:G21" si="2">F17*$B$9/1000</f>
        <v>898.41463414634143</v>
      </c>
      <c r="H17" s="784"/>
    </row>
    <row r="18" spans="1:8" x14ac:dyDescent="0.25">
      <c r="A18" s="784" t="s">
        <v>2</v>
      </c>
      <c r="B18" s="639">
        <v>0.82</v>
      </c>
      <c r="C18" s="806">
        <f t="shared" si="0"/>
        <v>8.9813800657174134E-2</v>
      </c>
      <c r="D18" s="807">
        <f>SUM(B18*$B$6/2000)</f>
        <v>1.0865E-2</v>
      </c>
      <c r="E18" s="784"/>
      <c r="F18" s="5">
        <f t="shared" si="1"/>
        <v>0.77507476546676324</v>
      </c>
      <c r="G18" s="578">
        <f t="shared" si="2"/>
        <v>106</v>
      </c>
      <c r="H18" s="784"/>
    </row>
    <row r="19" spans="1:8" x14ac:dyDescent="0.25">
      <c r="A19" s="784" t="s">
        <v>4</v>
      </c>
      <c r="B19" s="639">
        <v>0.4</v>
      </c>
      <c r="C19" s="806">
        <f t="shared" si="0"/>
        <v>4.3811610076670317E-2</v>
      </c>
      <c r="D19" s="807">
        <f>SUM(B19*$B$6/2000)</f>
        <v>5.3000000000000009E-3</v>
      </c>
      <c r="E19" s="784"/>
      <c r="F19" s="5">
        <f t="shared" si="1"/>
        <v>0.37808525144720162</v>
      </c>
      <c r="G19" s="578">
        <f t="shared" si="2"/>
        <v>51.707317073170742</v>
      </c>
      <c r="H19" s="784"/>
    </row>
    <row r="20" spans="1:8" x14ac:dyDescent="0.25">
      <c r="A20" s="784" t="s">
        <v>218</v>
      </c>
      <c r="B20" s="639">
        <v>1.4E-2</v>
      </c>
      <c r="C20" s="806">
        <f t="shared" si="0"/>
        <v>1.533406352683461E-3</v>
      </c>
      <c r="D20" s="807">
        <f t="shared" ref="D20:D21" si="3">SUM(B20*$B$6/2000)</f>
        <v>1.8550000000000001E-4</v>
      </c>
      <c r="E20" s="784"/>
      <c r="F20" s="5">
        <f t="shared" si="1"/>
        <v>1.3232983800652055E-2</v>
      </c>
      <c r="G20" s="578">
        <f t="shared" si="2"/>
        <v>1.8097560975609759</v>
      </c>
      <c r="H20" s="784"/>
    </row>
    <row r="21" spans="1:8" ht="18" x14ac:dyDescent="0.35">
      <c r="A21" s="784" t="s">
        <v>217</v>
      </c>
      <c r="B21" s="639">
        <v>2.1000000000000001E-2</v>
      </c>
      <c r="C21" s="806">
        <f t="shared" si="0"/>
        <v>2.3001095290251915E-3</v>
      </c>
      <c r="D21" s="807">
        <f t="shared" si="3"/>
        <v>2.7825000000000001E-4</v>
      </c>
      <c r="E21" s="784"/>
      <c r="F21" s="5">
        <f t="shared" si="1"/>
        <v>1.9849475700978083E-2</v>
      </c>
      <c r="G21" s="578">
        <f t="shared" si="2"/>
        <v>2.7146341463414636</v>
      </c>
      <c r="H21" s="784"/>
    </row>
    <row r="23" spans="1:8" x14ac:dyDescent="0.25">
      <c r="B23" t="s">
        <v>220</v>
      </c>
    </row>
    <row r="24" spans="1:8" x14ac:dyDescent="0.25">
      <c r="B24" t="s">
        <v>219</v>
      </c>
    </row>
    <row r="26" spans="1:8" x14ac:dyDescent="0.25">
      <c r="B26" s="8" t="s">
        <v>207</v>
      </c>
    </row>
    <row r="27" spans="1:8" x14ac:dyDescent="0.25">
      <c r="B27" s="8"/>
    </row>
    <row r="28" spans="1:8" x14ac:dyDescent="0.25">
      <c r="C28" s="6" t="s">
        <v>206</v>
      </c>
      <c r="D28">
        <v>300</v>
      </c>
      <c r="E28" t="s">
        <v>205</v>
      </c>
    </row>
    <row r="29" spans="1:8" ht="46.5" customHeight="1" x14ac:dyDescent="0.25">
      <c r="C29" s="3" t="s">
        <v>3</v>
      </c>
      <c r="D29" s="3" t="s">
        <v>13</v>
      </c>
      <c r="E29" s="423" t="s">
        <v>215</v>
      </c>
      <c r="F29" s="801"/>
    </row>
    <row r="30" spans="1:8" x14ac:dyDescent="0.25">
      <c r="C30" s="3" t="s">
        <v>216</v>
      </c>
      <c r="D30" s="3" t="s">
        <v>204</v>
      </c>
      <c r="E30" s="3" t="s">
        <v>8</v>
      </c>
      <c r="F30" s="801"/>
    </row>
    <row r="31" spans="1:8" x14ac:dyDescent="0.25">
      <c r="B31" t="s">
        <v>12</v>
      </c>
      <c r="C31" s="10">
        <v>12.91</v>
      </c>
      <c r="D31" s="10">
        <f t="shared" ref="D31:D36" si="4">$D$28</f>
        <v>300</v>
      </c>
      <c r="E31" s="14">
        <f>SUM(C31*D31/2000)</f>
        <v>1.9365000000000001</v>
      </c>
      <c r="F31" s="670"/>
    </row>
    <row r="32" spans="1:8" x14ac:dyDescent="0.25">
      <c r="B32" t="s">
        <v>1</v>
      </c>
      <c r="C32" s="10">
        <v>6.95</v>
      </c>
      <c r="D32" s="10">
        <f t="shared" si="4"/>
        <v>300</v>
      </c>
      <c r="E32" s="14">
        <f>C32*300/2000</f>
        <v>1.0425</v>
      </c>
      <c r="F32" s="670"/>
    </row>
    <row r="33" spans="2:6" x14ac:dyDescent="0.25">
      <c r="B33" t="s">
        <v>2</v>
      </c>
      <c r="C33" s="10">
        <v>0.82</v>
      </c>
      <c r="D33" s="10">
        <f t="shared" si="4"/>
        <v>300</v>
      </c>
      <c r="E33" s="14">
        <f>SUM(C33*D33/2000)</f>
        <v>0.12299999999999998</v>
      </c>
      <c r="F33" s="670"/>
    </row>
    <row r="34" spans="2:6" x14ac:dyDescent="0.25">
      <c r="B34" t="s">
        <v>4</v>
      </c>
      <c r="C34" s="10">
        <v>0.4</v>
      </c>
      <c r="D34" s="10">
        <f t="shared" si="4"/>
        <v>300</v>
      </c>
      <c r="E34" s="14">
        <f>SUM(C34*D34/2000)</f>
        <v>0.06</v>
      </c>
      <c r="F34" s="670"/>
    </row>
    <row r="35" spans="2:6" x14ac:dyDescent="0.25">
      <c r="B35" t="s">
        <v>69</v>
      </c>
      <c r="C35" s="10">
        <v>1.4E-2</v>
      </c>
      <c r="D35" s="10">
        <f t="shared" si="4"/>
        <v>300</v>
      </c>
      <c r="E35" s="14">
        <f>SUM(B4*10^6*D35/B9*7.13*0.000015*2/2000)</f>
        <v>2.141956040099151E-3</v>
      </c>
      <c r="F35" s="670"/>
    </row>
    <row r="36" spans="2:6" ht="18" x14ac:dyDescent="0.35">
      <c r="B36" t="s">
        <v>217</v>
      </c>
      <c r="C36" s="10">
        <v>2.1000000000000001E-2</v>
      </c>
      <c r="D36" s="10">
        <f t="shared" si="4"/>
        <v>300</v>
      </c>
      <c r="E36" s="14">
        <f>SUM(C36*B4*D36/2000)</f>
        <v>2.8759500000000007E-2</v>
      </c>
      <c r="F36" s="670"/>
    </row>
    <row r="38" spans="2:6" x14ac:dyDescent="0.25">
      <c r="B38" t="s">
        <v>220</v>
      </c>
    </row>
    <row r="39" spans="2:6" x14ac:dyDescent="0.25">
      <c r="B39" t="s">
        <v>219</v>
      </c>
    </row>
  </sheetData>
  <mergeCells count="3">
    <mergeCell ref="A1:F1"/>
    <mergeCell ref="A2:F2"/>
    <mergeCell ref="B14:C1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opLeftCell="A22" zoomScale="85" zoomScaleNormal="85" workbookViewId="0">
      <selection activeCell="F15" sqref="F15"/>
    </sheetView>
  </sheetViews>
  <sheetFormatPr defaultRowHeight="15" x14ac:dyDescent="0.25"/>
  <cols>
    <col min="1" max="1" width="15.28515625" customWidth="1"/>
    <col min="2" max="2" width="15.42578125" customWidth="1"/>
    <col min="3" max="3" width="10.28515625" customWidth="1"/>
    <col min="5" max="5" width="18" customWidth="1"/>
    <col min="9" max="9" width="31.85546875" customWidth="1"/>
    <col min="10" max="10" width="23.7109375" customWidth="1"/>
    <col min="11" max="11" width="14" customWidth="1"/>
    <col min="13" max="13" width="14.7109375" customWidth="1"/>
    <col min="14" max="14" width="14.140625" customWidth="1"/>
    <col min="15" max="15" width="13" customWidth="1"/>
    <col min="16" max="16" width="12" customWidth="1"/>
  </cols>
  <sheetData>
    <row r="1" spans="1:15" x14ac:dyDescent="0.25">
      <c r="A1" s="442" t="s">
        <v>700</v>
      </c>
      <c r="B1" s="23"/>
      <c r="C1" s="23"/>
      <c r="D1" s="23"/>
      <c r="E1" s="23"/>
      <c r="F1" s="23"/>
      <c r="G1" s="443"/>
      <c r="I1" s="442"/>
      <c r="J1" s="23"/>
      <c r="K1" s="23"/>
      <c r="L1" s="23"/>
      <c r="M1" s="23"/>
      <c r="N1" s="23"/>
      <c r="O1" s="443"/>
    </row>
    <row r="2" spans="1:15" x14ac:dyDescent="0.25">
      <c r="A2" s="444" t="s">
        <v>1016</v>
      </c>
      <c r="B2" s="23"/>
      <c r="C2" s="23"/>
      <c r="D2" s="23"/>
      <c r="E2" s="23"/>
      <c r="F2" s="23"/>
      <c r="G2" s="445"/>
      <c r="I2" s="444"/>
      <c r="J2" s="23"/>
      <c r="K2" s="23"/>
      <c r="L2" s="23"/>
      <c r="M2" s="23"/>
      <c r="N2" s="23"/>
      <c r="O2" s="445"/>
    </row>
    <row r="4" spans="1:15" x14ac:dyDescent="0.25">
      <c r="A4" s="669" t="s">
        <v>366</v>
      </c>
      <c r="B4" s="670"/>
      <c r="C4" s="670"/>
      <c r="D4" s="670"/>
      <c r="E4" s="670"/>
      <c r="F4" s="670"/>
      <c r="G4" s="670"/>
      <c r="I4" s="669" t="s">
        <v>567</v>
      </c>
      <c r="J4" s="670"/>
      <c r="K4" s="670"/>
    </row>
    <row r="5" spans="1:15" ht="15.75" thickBot="1" x14ac:dyDescent="0.3">
      <c r="A5" s="670"/>
      <c r="B5" s="670"/>
      <c r="C5" s="670"/>
      <c r="D5" s="670"/>
      <c r="E5" s="670"/>
      <c r="F5" s="670"/>
      <c r="G5" s="670"/>
      <c r="I5" s="670"/>
      <c r="J5" s="670"/>
      <c r="K5" s="670"/>
      <c r="L5" s="10"/>
    </row>
    <row r="6" spans="1:15" ht="15.75" thickBot="1" x14ac:dyDescent="0.3">
      <c r="A6" s="671" t="s">
        <v>910</v>
      </c>
      <c r="B6" s="672"/>
      <c r="C6" s="672"/>
      <c r="D6" s="672">
        <v>37</v>
      </c>
      <c r="E6" s="673" t="s">
        <v>868</v>
      </c>
      <c r="F6" s="670"/>
      <c r="G6" s="670"/>
      <c r="I6" s="686" t="s">
        <v>701</v>
      </c>
      <c r="J6" s="687"/>
      <c r="K6" s="687"/>
      <c r="L6" s="518"/>
    </row>
    <row r="7" spans="1:15" x14ac:dyDescent="0.25">
      <c r="A7" s="674" t="s">
        <v>367</v>
      </c>
      <c r="B7" s="675"/>
      <c r="C7" s="675"/>
      <c r="D7" s="676">
        <f>D6/3.785</f>
        <v>9.7754293262879788</v>
      </c>
      <c r="E7" s="677" t="s">
        <v>0</v>
      </c>
      <c r="F7" s="670"/>
      <c r="G7" s="670"/>
      <c r="I7" s="514" t="s">
        <v>595</v>
      </c>
      <c r="J7" s="675"/>
      <c r="K7" s="672">
        <f>J34</f>
        <v>393</v>
      </c>
      <c r="L7" s="451" t="s">
        <v>0</v>
      </c>
    </row>
    <row r="8" spans="1:15" x14ac:dyDescent="0.25">
      <c r="A8" s="674" t="s">
        <v>708</v>
      </c>
      <c r="B8" s="675"/>
      <c r="C8" s="675"/>
      <c r="D8" s="1049">
        <v>4.3099999999999996</v>
      </c>
      <c r="E8" s="677" t="s">
        <v>709</v>
      </c>
      <c r="F8" s="670"/>
      <c r="G8" s="670"/>
      <c r="I8" s="674" t="s">
        <v>875</v>
      </c>
      <c r="J8" s="675"/>
      <c r="K8" s="697">
        <f>K7/0.95</f>
        <v>413.68421052631578</v>
      </c>
      <c r="L8" s="451" t="s">
        <v>0</v>
      </c>
    </row>
    <row r="9" spans="1:15" ht="15.75" thickBot="1" x14ac:dyDescent="0.3">
      <c r="A9" s="678" t="s">
        <v>368</v>
      </c>
      <c r="B9" s="679"/>
      <c r="C9" s="679"/>
      <c r="D9" s="679">
        <v>8.4</v>
      </c>
      <c r="E9" s="680" t="s">
        <v>156</v>
      </c>
      <c r="F9" s="670"/>
      <c r="G9" s="670"/>
      <c r="I9" s="674" t="s">
        <v>380</v>
      </c>
      <c r="J9" s="675"/>
      <c r="K9" s="675">
        <v>6.7</v>
      </c>
      <c r="L9" s="451" t="s">
        <v>156</v>
      </c>
    </row>
    <row r="10" spans="1:15" x14ac:dyDescent="0.25">
      <c r="A10" s="675" t="s">
        <v>869</v>
      </c>
      <c r="B10" s="670"/>
      <c r="C10" s="670"/>
      <c r="D10" s="670">
        <f>D8/D9</f>
        <v>0.51309523809523805</v>
      </c>
      <c r="E10" s="670"/>
      <c r="F10" s="670"/>
      <c r="G10" s="670"/>
      <c r="I10" s="674" t="s">
        <v>381</v>
      </c>
      <c r="J10" s="675"/>
      <c r="K10" s="688">
        <f>SUM(K8*K9*0.05/2000)</f>
        <v>6.9292105263157891E-2</v>
      </c>
      <c r="L10" s="451" t="s">
        <v>568</v>
      </c>
    </row>
    <row r="11" spans="1:15" ht="15.75" thickBot="1" x14ac:dyDescent="0.3">
      <c r="A11" s="670"/>
      <c r="B11" s="670"/>
      <c r="C11" s="670"/>
      <c r="D11" s="670"/>
      <c r="E11" s="670"/>
      <c r="F11" s="670"/>
      <c r="G11" s="670"/>
      <c r="I11" s="678" t="s">
        <v>382</v>
      </c>
      <c r="J11" s="679"/>
      <c r="K11" s="689">
        <f>K10*2000/5/52</f>
        <v>0.53301619433198377</v>
      </c>
      <c r="L11" s="517" t="s">
        <v>267</v>
      </c>
    </row>
    <row r="12" spans="1:15" x14ac:dyDescent="0.25">
      <c r="A12" s="670" t="s">
        <v>369</v>
      </c>
      <c r="B12" s="670"/>
      <c r="C12" s="670"/>
      <c r="D12" s="670">
        <f>D7*D8</f>
        <v>42.132100396301183</v>
      </c>
      <c r="E12" s="670" t="s">
        <v>321</v>
      </c>
      <c r="F12" s="670"/>
      <c r="G12" s="670"/>
      <c r="I12" s="670"/>
      <c r="J12" s="670"/>
      <c r="K12" s="670"/>
      <c r="L12" s="18"/>
    </row>
    <row r="13" spans="1:15" ht="15.75" thickBot="1" x14ac:dyDescent="0.3">
      <c r="A13" s="1049" t="s">
        <v>1056</v>
      </c>
      <c r="B13" s="670"/>
      <c r="C13" s="670"/>
      <c r="D13" s="670">
        <v>16523.3</v>
      </c>
      <c r="E13" s="1049" t="s">
        <v>1055</v>
      </c>
      <c r="F13" s="670"/>
      <c r="G13" s="670"/>
      <c r="I13" s="670"/>
      <c r="J13" s="670"/>
      <c r="K13" s="670"/>
    </row>
    <row r="14" spans="1:15" ht="15.75" thickBot="1" x14ac:dyDescent="0.3">
      <c r="A14" s="670" t="s">
        <v>1057</v>
      </c>
      <c r="B14" s="670"/>
      <c r="C14" s="670"/>
      <c r="D14" s="670">
        <f>D13/454</f>
        <v>36.394933920704844</v>
      </c>
      <c r="E14" s="1049" t="s">
        <v>321</v>
      </c>
      <c r="F14" s="670"/>
      <c r="G14" s="670"/>
      <c r="I14" s="686" t="s">
        <v>383</v>
      </c>
      <c r="J14" s="690"/>
      <c r="K14" s="670"/>
    </row>
    <row r="15" spans="1:15" x14ac:dyDescent="0.25">
      <c r="A15" s="670"/>
      <c r="B15" s="670"/>
      <c r="C15" s="670"/>
      <c r="D15" s="670"/>
      <c r="E15" s="670"/>
      <c r="F15" s="670"/>
      <c r="G15" s="670"/>
      <c r="I15" s="671" t="s">
        <v>702</v>
      </c>
      <c r="J15" s="673"/>
      <c r="K15" s="670"/>
    </row>
    <row r="16" spans="1:15" x14ac:dyDescent="0.25">
      <c r="A16" s="669" t="s">
        <v>370</v>
      </c>
      <c r="B16" s="670"/>
      <c r="C16" s="670"/>
      <c r="D16" s="681">
        <f>D14/2000</f>
        <v>1.8197466960352422E-2</v>
      </c>
      <c r="E16" s="670" t="s">
        <v>870</v>
      </c>
      <c r="F16" s="670"/>
      <c r="G16" s="670"/>
      <c r="I16" s="691" t="s">
        <v>703</v>
      </c>
      <c r="J16" s="677">
        <v>16</v>
      </c>
      <c r="K16" s="670"/>
    </row>
    <row r="17" spans="1:12" x14ac:dyDescent="0.25">
      <c r="A17" s="670"/>
      <c r="B17" s="670"/>
      <c r="C17" s="670" t="s">
        <v>571</v>
      </c>
      <c r="D17" s="681">
        <f>D12/D22</f>
        <v>1026.1904761904761</v>
      </c>
      <c r="E17" s="670" t="s">
        <v>871</v>
      </c>
      <c r="F17" s="670"/>
      <c r="G17" s="670"/>
      <c r="I17" s="691" t="s">
        <v>704</v>
      </c>
      <c r="J17" s="677">
        <v>5</v>
      </c>
      <c r="K17" s="670"/>
    </row>
    <row r="18" spans="1:12" x14ac:dyDescent="0.25">
      <c r="A18" s="670"/>
      <c r="B18" s="670"/>
      <c r="C18" s="670"/>
      <c r="D18" s="670"/>
      <c r="E18" s="670"/>
      <c r="F18" s="670"/>
      <c r="G18" s="670"/>
      <c r="I18" s="692" t="s">
        <v>705</v>
      </c>
      <c r="J18" s="693">
        <v>52</v>
      </c>
      <c r="K18" s="670"/>
    </row>
    <row r="19" spans="1:12" ht="15.75" thickBot="1" x14ac:dyDescent="0.3">
      <c r="A19" s="669" t="s">
        <v>372</v>
      </c>
      <c r="B19" s="670"/>
      <c r="C19" s="670"/>
      <c r="D19" s="670"/>
      <c r="E19" s="670"/>
      <c r="F19" s="670"/>
      <c r="G19" s="670"/>
      <c r="I19" s="694" t="s">
        <v>706</v>
      </c>
      <c r="J19" s="695">
        <f>J16*J17*J18</f>
        <v>4160</v>
      </c>
      <c r="K19" s="670"/>
    </row>
    <row r="20" spans="1:12" x14ac:dyDescent="0.25">
      <c r="A20" s="670"/>
      <c r="B20" s="670"/>
      <c r="C20" s="670"/>
      <c r="D20" s="670"/>
      <c r="E20" s="670"/>
      <c r="F20" s="670"/>
      <c r="G20" s="670"/>
      <c r="I20" s="670"/>
      <c r="J20" s="670"/>
      <c r="K20" s="670"/>
    </row>
    <row r="21" spans="1:12" x14ac:dyDescent="0.25">
      <c r="A21" s="670" t="s">
        <v>373</v>
      </c>
      <c r="B21" s="670"/>
      <c r="C21" s="670"/>
      <c r="D21" s="682">
        <f>SUM(D7*D9)</f>
        <v>82.113606340819018</v>
      </c>
      <c r="E21" s="670" t="s">
        <v>321</v>
      </c>
      <c r="F21" s="670"/>
      <c r="G21" s="670"/>
      <c r="I21" s="696" t="s">
        <v>569</v>
      </c>
      <c r="J21" s="681">
        <f>SUM(K10*8760/J19)</f>
        <v>0.14591318319838056</v>
      </c>
      <c r="K21" s="670"/>
    </row>
    <row r="22" spans="1:12" x14ac:dyDescent="0.25">
      <c r="A22" s="670" t="s">
        <v>872</v>
      </c>
      <c r="B22" s="670"/>
      <c r="C22" s="670"/>
      <c r="D22" s="682">
        <f>D21/2000</f>
        <v>4.1056803170409509E-2</v>
      </c>
      <c r="E22" s="670" t="s">
        <v>371</v>
      </c>
      <c r="F22" s="670"/>
      <c r="G22" s="670"/>
      <c r="I22" s="696"/>
      <c r="J22" s="681"/>
      <c r="K22" s="670"/>
    </row>
    <row r="23" spans="1:12" x14ac:dyDescent="0.25">
      <c r="A23" s="670" t="s">
        <v>374</v>
      </c>
      <c r="B23" s="670"/>
      <c r="C23" s="670"/>
      <c r="D23" s="682">
        <f>SUM(D21-D12)</f>
        <v>39.981505944517835</v>
      </c>
      <c r="E23" s="670" t="s">
        <v>321</v>
      </c>
      <c r="F23" s="670"/>
      <c r="G23" s="670"/>
      <c r="I23" s="696" t="s">
        <v>707</v>
      </c>
      <c r="J23" s="670">
        <f>K10*2000/K7</f>
        <v>0.35263157894736841</v>
      </c>
      <c r="K23" s="670"/>
    </row>
    <row r="24" spans="1:12" x14ac:dyDescent="0.25">
      <c r="A24" s="670"/>
      <c r="B24" s="670"/>
      <c r="C24" s="670"/>
      <c r="D24" s="682"/>
      <c r="E24" s="670"/>
      <c r="F24" s="670"/>
      <c r="G24" s="670"/>
    </row>
    <row r="25" spans="1:12" x14ac:dyDescent="0.25">
      <c r="A25" s="670" t="s">
        <v>375</v>
      </c>
      <c r="B25" s="670"/>
      <c r="C25" s="670"/>
      <c r="D25" s="682">
        <f>SUM(D23-0.1*D23)</f>
        <v>35.983355350066049</v>
      </c>
      <c r="E25" s="670" t="s">
        <v>321</v>
      </c>
      <c r="F25" s="670"/>
      <c r="G25" s="670"/>
    </row>
    <row r="26" spans="1:12" ht="15.75" thickBot="1" x14ac:dyDescent="0.3">
      <c r="A26" s="670"/>
      <c r="B26" s="670"/>
      <c r="C26" s="670"/>
      <c r="D26" s="682"/>
      <c r="E26" s="670"/>
      <c r="F26" s="670"/>
      <c r="G26" s="670"/>
      <c r="I26" s="519" t="s">
        <v>1039</v>
      </c>
      <c r="J26" s="464"/>
      <c r="L26" s="960" t="s">
        <v>1028</v>
      </c>
    </row>
    <row r="27" spans="1:12" x14ac:dyDescent="0.25">
      <c r="A27" s="670" t="s">
        <v>376</v>
      </c>
      <c r="B27" s="670"/>
      <c r="C27" s="670"/>
      <c r="D27" s="682">
        <f>SUM(D25*0.5)</f>
        <v>17.991677675033024</v>
      </c>
      <c r="E27" s="670" t="s">
        <v>321</v>
      </c>
      <c r="F27" s="670"/>
      <c r="G27" s="670"/>
      <c r="I27" s="670" t="s">
        <v>463</v>
      </c>
      <c r="J27" s="670" t="s">
        <v>344</v>
      </c>
      <c r="L27" s="960" t="s">
        <v>1029</v>
      </c>
    </row>
    <row r="28" spans="1:12" ht="15" customHeight="1" x14ac:dyDescent="0.25">
      <c r="A28" s="670"/>
      <c r="B28" s="670"/>
      <c r="C28" s="670"/>
      <c r="D28" s="682"/>
      <c r="E28" s="670"/>
      <c r="F28" s="670"/>
      <c r="G28" s="670"/>
      <c r="I28" s="1038" t="s">
        <v>862</v>
      </c>
      <c r="J28" s="670">
        <v>70</v>
      </c>
      <c r="K28" s="440"/>
      <c r="L28" s="960"/>
    </row>
    <row r="29" spans="1:12" x14ac:dyDescent="0.25">
      <c r="A29" s="1245" t="s">
        <v>377</v>
      </c>
      <c r="B29" s="1245"/>
      <c r="C29" s="1245"/>
      <c r="D29" s="682">
        <f>SUM(D27*0.05)</f>
        <v>0.89958388375165121</v>
      </c>
      <c r="E29" s="670" t="s">
        <v>321</v>
      </c>
      <c r="F29" s="670"/>
      <c r="G29" s="670"/>
      <c r="I29" s="1038" t="s">
        <v>863</v>
      </c>
      <c r="J29" s="670">
        <v>45</v>
      </c>
      <c r="K29" s="440"/>
      <c r="L29" s="960" t="s">
        <v>1030</v>
      </c>
    </row>
    <row r="30" spans="1:12" x14ac:dyDescent="0.25">
      <c r="A30" s="669" t="s">
        <v>378</v>
      </c>
      <c r="B30" s="670"/>
      <c r="C30" s="670"/>
      <c r="D30" s="683">
        <f>SUM(D29/2000)</f>
        <v>4.497919418758256E-4</v>
      </c>
      <c r="E30" s="670" t="s">
        <v>371</v>
      </c>
      <c r="F30" s="670"/>
      <c r="G30" s="670"/>
      <c r="I30" s="1038" t="s">
        <v>864</v>
      </c>
      <c r="J30" s="670">
        <v>69</v>
      </c>
      <c r="K30" s="440"/>
      <c r="L30" s="960" t="s">
        <v>1031</v>
      </c>
    </row>
    <row r="31" spans="1:12" x14ac:dyDescent="0.25">
      <c r="A31" s="670"/>
      <c r="B31" s="670"/>
      <c r="C31" s="670" t="s">
        <v>571</v>
      </c>
      <c r="D31" s="670">
        <f>D29/D22</f>
        <v>21.910714285714285</v>
      </c>
      <c r="E31" s="670" t="s">
        <v>871</v>
      </c>
      <c r="F31" s="670"/>
      <c r="G31" s="670"/>
      <c r="I31" s="1038" t="s">
        <v>865</v>
      </c>
      <c r="J31" s="670">
        <v>45</v>
      </c>
      <c r="K31" s="440"/>
      <c r="L31" s="960" t="s">
        <v>1032</v>
      </c>
    </row>
    <row r="32" spans="1:12" x14ac:dyDescent="0.25">
      <c r="A32" s="669" t="s">
        <v>207</v>
      </c>
      <c r="B32" s="670"/>
      <c r="C32" s="670"/>
      <c r="D32" s="670"/>
      <c r="E32" s="670"/>
      <c r="F32" s="670"/>
      <c r="G32" s="670"/>
      <c r="I32" s="1038" t="s">
        <v>866</v>
      </c>
      <c r="J32" s="670">
        <v>40</v>
      </c>
      <c r="K32" s="440"/>
      <c r="L32" s="960" t="s">
        <v>1033</v>
      </c>
    </row>
    <row r="33" spans="1:16" ht="15.75" thickBot="1" x14ac:dyDescent="0.3">
      <c r="A33" s="670"/>
      <c r="B33" s="670"/>
      <c r="C33" s="670"/>
      <c r="D33" s="670"/>
      <c r="E33" s="670"/>
      <c r="F33" s="670"/>
      <c r="G33" s="670"/>
      <c r="I33" s="1039" t="s">
        <v>867</v>
      </c>
      <c r="J33" s="1040">
        <v>124</v>
      </c>
      <c r="K33" s="440"/>
      <c r="L33" s="960" t="s">
        <v>1034</v>
      </c>
    </row>
    <row r="34" spans="1:16" ht="15.75" thickTop="1" x14ac:dyDescent="0.25">
      <c r="A34" s="670" t="s">
        <v>873</v>
      </c>
      <c r="B34" s="670"/>
      <c r="C34" s="670" t="s">
        <v>874</v>
      </c>
      <c r="D34" s="670"/>
      <c r="E34" s="670"/>
      <c r="F34" s="684">
        <f>1*7*52</f>
        <v>364</v>
      </c>
      <c r="G34" s="670" t="s">
        <v>379</v>
      </c>
      <c r="I34" s="1041" t="s">
        <v>94</v>
      </c>
      <c r="J34" s="670">
        <f>SUM(J28:J33)</f>
        <v>393</v>
      </c>
      <c r="K34" s="440" t="s">
        <v>0</v>
      </c>
      <c r="L34" s="960"/>
      <c r="M34" s="440"/>
    </row>
    <row r="35" spans="1:16" x14ac:dyDescent="0.25">
      <c r="A35" s="670"/>
      <c r="B35" s="670"/>
      <c r="C35" s="670"/>
      <c r="D35" s="670"/>
      <c r="E35" s="670"/>
      <c r="F35" s="670"/>
      <c r="G35" s="670"/>
      <c r="I35" s="440"/>
      <c r="J35" s="440"/>
      <c r="K35" s="440"/>
      <c r="L35" s="960" t="s">
        <v>1035</v>
      </c>
      <c r="P35" s="440"/>
    </row>
    <row r="36" spans="1:16" x14ac:dyDescent="0.25">
      <c r="A36" s="670"/>
      <c r="B36" s="670"/>
      <c r="C36" s="670"/>
      <c r="D36" s="670"/>
      <c r="E36" s="670"/>
      <c r="F36" s="670"/>
      <c r="G36" s="670"/>
      <c r="I36" s="440"/>
      <c r="J36" s="440"/>
      <c r="K36" s="440"/>
      <c r="L36" s="960"/>
      <c r="P36" s="440"/>
    </row>
    <row r="37" spans="1:16" x14ac:dyDescent="0.25">
      <c r="A37" s="670" t="s">
        <v>2</v>
      </c>
      <c r="B37" s="670"/>
      <c r="C37" s="670"/>
      <c r="D37" s="685">
        <f>SUM(D16*8760/F34)</f>
        <v>0.43793904003485495</v>
      </c>
      <c r="E37" s="670" t="s">
        <v>254</v>
      </c>
      <c r="F37" s="670"/>
      <c r="G37" s="670"/>
      <c r="I37" s="440"/>
      <c r="J37" s="440"/>
      <c r="K37" s="440"/>
      <c r="L37" s="960" t="s">
        <v>1036</v>
      </c>
      <c r="P37" s="440"/>
    </row>
    <row r="38" spans="1:16" x14ac:dyDescent="0.25">
      <c r="A38" s="670" t="s">
        <v>4</v>
      </c>
      <c r="B38" s="670"/>
      <c r="C38" s="670"/>
      <c r="D38" s="685">
        <f>SUM(D30*8760/F34)</f>
        <v>1.0824663216572066E-2</v>
      </c>
      <c r="E38" s="670" t="s">
        <v>254</v>
      </c>
      <c r="F38" s="670"/>
      <c r="G38" s="670"/>
      <c r="I38" s="440"/>
      <c r="J38" s="440"/>
      <c r="K38" s="440"/>
      <c r="L38" s="960"/>
      <c r="P38" s="440"/>
    </row>
    <row r="39" spans="1:16" x14ac:dyDescent="0.25">
      <c r="A39" s="670"/>
      <c r="B39" s="670"/>
      <c r="C39" s="670"/>
      <c r="D39" s="670"/>
      <c r="E39" s="670"/>
      <c r="F39" s="670"/>
      <c r="G39" s="670"/>
      <c r="I39" s="440"/>
      <c r="J39" s="440"/>
      <c r="K39" s="440"/>
      <c r="L39" s="960" t="s">
        <v>1037</v>
      </c>
      <c r="P39" s="440"/>
    </row>
    <row r="40" spans="1:16" x14ac:dyDescent="0.25">
      <c r="A40" s="670" t="s">
        <v>694</v>
      </c>
      <c r="B40" s="670"/>
      <c r="C40" s="670"/>
      <c r="D40" s="670"/>
      <c r="E40" s="670"/>
      <c r="F40" s="670"/>
      <c r="G40" s="670"/>
      <c r="I40" s="440"/>
      <c r="J40" s="440"/>
      <c r="K40" s="440"/>
      <c r="L40" s="960"/>
      <c r="P40" s="440"/>
    </row>
    <row r="41" spans="1:16" x14ac:dyDescent="0.25">
      <c r="A41" s="670"/>
      <c r="B41" s="670"/>
      <c r="C41" s="670"/>
      <c r="D41" s="670"/>
      <c r="E41" s="670"/>
      <c r="F41" s="670"/>
      <c r="G41" s="670"/>
      <c r="I41" s="440"/>
      <c r="J41" s="440"/>
      <c r="K41" s="440"/>
      <c r="L41" s="960" t="s">
        <v>1038</v>
      </c>
      <c r="P41" s="440"/>
    </row>
    <row r="42" spans="1:16" x14ac:dyDescent="0.25">
      <c r="I42" s="440"/>
      <c r="J42" s="440"/>
      <c r="K42" s="440"/>
      <c r="P42" s="440"/>
    </row>
    <row r="43" spans="1:16" x14ac:dyDescent="0.25">
      <c r="I43" s="440"/>
      <c r="J43" s="440"/>
      <c r="K43" s="440"/>
      <c r="P43" s="440"/>
    </row>
    <row r="44" spans="1:16" x14ac:dyDescent="0.25">
      <c r="I44" s="440"/>
      <c r="J44" s="440"/>
      <c r="K44" s="440"/>
      <c r="P44" s="440"/>
    </row>
    <row r="45" spans="1:16" x14ac:dyDescent="0.25">
      <c r="I45" s="440"/>
      <c r="J45" s="440"/>
      <c r="K45" s="440"/>
      <c r="P45" s="440"/>
    </row>
    <row r="46" spans="1:16" x14ac:dyDescent="0.25">
      <c r="P46" s="440"/>
    </row>
    <row r="47" spans="1:16" x14ac:dyDescent="0.25">
      <c r="I47" t="s">
        <v>861</v>
      </c>
      <c r="P47" s="440"/>
    </row>
    <row r="48" spans="1:16" x14ac:dyDescent="0.25">
      <c r="P48" s="440"/>
    </row>
    <row r="49" spans="9:16" x14ac:dyDescent="0.25">
      <c r="P49" s="440"/>
    </row>
    <row r="50" spans="9:16" x14ac:dyDescent="0.25">
      <c r="I50" s="440"/>
      <c r="J50" s="440"/>
      <c r="K50" s="440"/>
    </row>
  </sheetData>
  <mergeCells count="1">
    <mergeCell ref="A29:C29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3CD825787CF841BC44A84652D7457F" ma:contentTypeVersion="13" ma:contentTypeDescription="Create a new document." ma:contentTypeScope="" ma:versionID="447fb795ddd7e62e0b7ba39490814366">
  <xsd:schema xmlns:xsd="http://www.w3.org/2001/XMLSchema" xmlns:xs="http://www.w3.org/2001/XMLSchema" xmlns:p="http://schemas.microsoft.com/office/2006/metadata/properties" xmlns:ns3="610d373b-b02d-4f76-ac6e-a68fef20ef24" xmlns:ns4="c46fcb69-4d31-4ed8-8dd2-5639a86483ef" targetNamespace="http://schemas.microsoft.com/office/2006/metadata/properties" ma:root="true" ma:fieldsID="c865203a08a372fd502e7cd9078a4ee7" ns3:_="" ns4:_="">
    <xsd:import namespace="610d373b-b02d-4f76-ac6e-a68fef20ef24"/>
    <xsd:import namespace="c46fcb69-4d31-4ed8-8dd2-5639a86483e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3:SharedWithDetails" minOccurs="0"/>
                <xsd:element ref="ns3:SharingHintHash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d373b-b02d-4f76-ac6e-a68fef20ef2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6fcb69-4d31-4ed8-8dd2-5639a86483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3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3EF2500-A5E0-4F73-A8E2-99CB8281C1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0d373b-b02d-4f76-ac6e-a68fef20ef24"/>
    <ds:schemaRef ds:uri="c46fcb69-4d31-4ed8-8dd2-5639a86483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2E499D-78E0-4E24-A336-9572FD4EA5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839DD-B8FE-47F3-ADAE-D97EE7F5502B}">
  <ds:schemaRefs>
    <ds:schemaRef ds:uri="http://purl.org/dc/dcmitype/"/>
    <ds:schemaRef ds:uri="http://schemas.microsoft.com/office/infopath/2007/PartnerControls"/>
    <ds:schemaRef ds:uri="610d373b-b02d-4f76-ac6e-a68fef20ef24"/>
    <ds:schemaRef ds:uri="http://purl.org/dc/elements/1.1/"/>
    <ds:schemaRef ds:uri="http://schemas.microsoft.com/office/2006/metadata/properties"/>
    <ds:schemaRef ds:uri="c46fcb69-4d31-4ed8-8dd2-5639a86483ef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3</vt:i4>
      </vt:variant>
    </vt:vector>
  </HeadingPairs>
  <TitlesOfParts>
    <vt:vector size="23" baseType="lpstr">
      <vt:lpstr>SR Emissions Summary</vt:lpstr>
      <vt:lpstr>Federal eGGRT Calcs</vt:lpstr>
      <vt:lpstr>MA GHG Calcs</vt:lpstr>
      <vt:lpstr>CHP Fuel Use, CEMS Data</vt:lpstr>
      <vt:lpstr>CTG - oil </vt:lpstr>
      <vt:lpstr>CTG - ng</vt:lpstr>
      <vt:lpstr>Boiler Emissions</vt:lpstr>
      <vt:lpstr>Black Start Emerg. Generator</vt:lpstr>
      <vt:lpstr>Paint booth &amp; degreaser</vt:lpstr>
      <vt:lpstr>LNG Facility</vt:lpstr>
      <vt:lpstr>Storage Tanks</vt:lpstr>
      <vt:lpstr>Small Boilers - NG1</vt:lpstr>
      <vt:lpstr>Small Boilers - Oil</vt:lpstr>
      <vt:lpstr>Emergency Generators-NG</vt:lpstr>
      <vt:lpstr>Emergency Generators - Diesel</vt:lpstr>
      <vt:lpstr>NG, Diesel and Propane totals</vt:lpstr>
      <vt:lpstr>Space Heaters</vt:lpstr>
      <vt:lpstr>EGenerator Raw Data</vt:lpstr>
      <vt:lpstr>Berskhire Gas - RTIC and UMTS</vt:lpstr>
      <vt:lpstr>PVTA UMA Bus Fleet</vt:lpstr>
      <vt:lpstr>'CHP Fuel Use, CEMS Data'!Print_Area</vt:lpstr>
      <vt:lpstr>'MA GHG Calcs'!Print_Area</vt:lpstr>
      <vt:lpstr>'SR Emissions Summary'!Print_Area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Berkshire Environmental Consultants</dc:creator>
  <cp:lastModifiedBy>Ezra Small</cp:lastModifiedBy>
  <cp:lastPrinted>2019-06-17T19:59:54Z</cp:lastPrinted>
  <dcterms:created xsi:type="dcterms:W3CDTF">2009-04-02T23:50:31Z</dcterms:created>
  <dcterms:modified xsi:type="dcterms:W3CDTF">2020-01-16T19:33:07Z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0x010100F33CD825787CF841BC44A84652D7457F</vt:lpwstr>
  </property>
</Properties>
</file>