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https://d.docs.live.net/34c07466a7d5fb8d/Documents/"/>
    </mc:Choice>
  </mc:AlternateContent>
  <xr:revisionPtr revIDLastSave="12" documentId="13_ncr:40009_{FED5C959-81FD-464A-AFAD-DA7B4A2D9C20}" xr6:coauthVersionLast="46" xr6:coauthVersionMax="46" xr10:uidLastSave="{736F1D4B-8F00-4952-807B-81F407672B25}"/>
  <bookViews>
    <workbookView xWindow="8470" yWindow="5220" windowWidth="14090" windowHeight="3930" activeTab="1" xr2:uid="{00000000-000D-0000-FFFF-FFFF00000000}"/>
  </bookViews>
  <sheets>
    <sheet name="Compatibility Report" sheetId="2" r:id="rId1"/>
    <sheet name="Total Energy  adj sq ft" sheetId="6" r:id="rId2"/>
    <sheet name="Carbon Calculator" sheetId="8" r:id="rId3"/>
    <sheet name="Total Water" sheetId="7" r:id="rId4"/>
    <sheet name="Total Energy  (NE IL HDD CDD)" sheetId="3" r:id="rId5"/>
    <sheet name="Total Energy  (City Level)" sheetId="5" r:id="rId6"/>
  </sheets>
  <externalReferences>
    <externalReference r:id="rId7"/>
  </externalReferences>
  <definedNames>
    <definedName name="_xlnm.Print_Area" localSheetId="1">'Total Energy  adj sq ft'!$A$1:$AF$16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6" l="1"/>
  <c r="Q13" i="6"/>
  <c r="Q14" i="6"/>
  <c r="Q15" i="6"/>
  <c r="Q16" i="6"/>
  <c r="Q17" i="6"/>
  <c r="Q18" i="6"/>
  <c r="Q19" i="6"/>
  <c r="Q10" i="6"/>
  <c r="Q11" i="6"/>
  <c r="Q9" i="6"/>
  <c r="Q8" i="6"/>
  <c r="Q7" i="6"/>
  <c r="Q6" i="6"/>
  <c r="Q5" i="6"/>
  <c r="Q4" i="6"/>
  <c r="Q3" i="6"/>
  <c r="AE17" i="6" l="1"/>
  <c r="AE18" i="6"/>
  <c r="AE19" i="6"/>
  <c r="Z17" i="6"/>
  <c r="Z18" i="6"/>
  <c r="Z19" i="6"/>
  <c r="Y17" i="6"/>
  <c r="Y18" i="6"/>
  <c r="Y19" i="6"/>
  <c r="V17" i="6"/>
  <c r="V18" i="6"/>
  <c r="V19" i="6"/>
  <c r="U17" i="6"/>
  <c r="U18" i="6"/>
  <c r="U19" i="6"/>
  <c r="T17" i="6"/>
  <c r="S17" i="6"/>
  <c r="AB17" i="6" s="1"/>
  <c r="S18" i="6"/>
  <c r="T18" i="6" s="1"/>
  <c r="S19" i="6"/>
  <c r="AB19" i="6" s="1"/>
  <c r="N19" i="6"/>
  <c r="T19" i="6" l="1"/>
  <c r="AB18" i="6"/>
  <c r="K19" i="6"/>
  <c r="F19" i="6"/>
  <c r="D19" i="6"/>
  <c r="N17" i="6"/>
  <c r="N18" i="6"/>
  <c r="K17" i="6"/>
  <c r="K18" i="6"/>
  <c r="F17" i="6"/>
  <c r="D17" i="6"/>
  <c r="D18" i="6"/>
  <c r="F18" i="6"/>
  <c r="F16" i="6"/>
  <c r="N16" i="6"/>
  <c r="K16" i="6"/>
  <c r="R22" i="6"/>
  <c r="N4" i="8"/>
  <c r="M4" i="8"/>
  <c r="M5" i="8"/>
  <c r="M6" i="8"/>
  <c r="M10" i="8"/>
  <c r="N10" i="8"/>
  <c r="M13" i="8"/>
  <c r="M14" i="8"/>
  <c r="M15" i="8"/>
  <c r="N15" i="8"/>
  <c r="M3" i="8"/>
  <c r="N9" i="8"/>
  <c r="L13" i="8"/>
  <c r="L12" i="8"/>
  <c r="M12" i="8"/>
  <c r="N12" i="8"/>
  <c r="L11" i="8"/>
  <c r="M11" i="8"/>
  <c r="N11" i="8"/>
  <c r="L10" i="8"/>
  <c r="L9" i="8"/>
  <c r="M9" i="8"/>
  <c r="L8" i="8"/>
  <c r="M8" i="8"/>
  <c r="N8" i="8"/>
  <c r="L7" i="8"/>
  <c r="M7" i="8"/>
  <c r="N7" i="8"/>
  <c r="L6" i="8"/>
  <c r="L5" i="8"/>
  <c r="I6" i="8"/>
  <c r="I10" i="8"/>
  <c r="I14" i="8"/>
  <c r="H4" i="8"/>
  <c r="H5" i="8"/>
  <c r="H6" i="8"/>
  <c r="H7" i="8"/>
  <c r="H8" i="8"/>
  <c r="H9" i="8"/>
  <c r="H10" i="8"/>
  <c r="H11" i="8"/>
  <c r="H12" i="8"/>
  <c r="H13" i="8"/>
  <c r="H14" i="8"/>
  <c r="H15" i="8"/>
  <c r="H3" i="8"/>
  <c r="I7" i="8"/>
  <c r="A3" i="8"/>
  <c r="A4" i="8"/>
  <c r="A5" i="8"/>
  <c r="A6" i="8"/>
  <c r="A7" i="8"/>
  <c r="A8" i="8"/>
  <c r="A9" i="8"/>
  <c r="A10" i="8"/>
  <c r="A11" i="8"/>
  <c r="A12" i="8"/>
  <c r="A13" i="8"/>
  <c r="A14" i="8"/>
  <c r="A15" i="8"/>
  <c r="F7" i="6"/>
  <c r="K7" i="6"/>
  <c r="E16" i="6"/>
  <c r="K15" i="6"/>
  <c r="Z15" i="6"/>
  <c r="V15" i="6"/>
  <c r="F15" i="6"/>
  <c r="S15" i="6"/>
  <c r="D15" i="6"/>
  <c r="U15" i="6"/>
  <c r="D16" i="6"/>
  <c r="U16" i="6"/>
  <c r="V3" i="6"/>
  <c r="V4" i="6"/>
  <c r="V5" i="6"/>
  <c r="V6" i="6"/>
  <c r="V7" i="6"/>
  <c r="V8" i="6"/>
  <c r="E15" i="7"/>
  <c r="D15" i="7"/>
  <c r="C15" i="7"/>
  <c r="B15" i="7"/>
  <c r="H15" i="7"/>
  <c r="I15" i="7"/>
  <c r="G14" i="7"/>
  <c r="G13" i="7"/>
  <c r="C4" i="7"/>
  <c r="C5" i="7"/>
  <c r="C6" i="7"/>
  <c r="C7" i="7"/>
  <c r="G15" i="7"/>
  <c r="Z14" i="6"/>
  <c r="Z16" i="6"/>
  <c r="V16" i="6"/>
  <c r="M25" i="6"/>
  <c r="R13" i="6"/>
  <c r="Z13" i="6"/>
  <c r="R12" i="6"/>
  <c r="Z12" i="6"/>
  <c r="R11" i="6"/>
  <c r="Z11" i="6"/>
  <c r="R10" i="6"/>
  <c r="R9" i="6"/>
  <c r="Z9" i="6"/>
  <c r="R8" i="6"/>
  <c r="Z8" i="6"/>
  <c r="R7" i="6"/>
  <c r="R6" i="6"/>
  <c r="R5" i="6"/>
  <c r="Z5" i="6"/>
  <c r="Z4" i="6"/>
  <c r="V14" i="6"/>
  <c r="K14" i="6"/>
  <c r="F14" i="6"/>
  <c r="D14" i="6"/>
  <c r="U14" i="6"/>
  <c r="V13" i="6"/>
  <c r="K13" i="6"/>
  <c r="F13" i="6"/>
  <c r="D13" i="6"/>
  <c r="U13" i="6"/>
  <c r="V12" i="6"/>
  <c r="K12" i="6"/>
  <c r="F12" i="6"/>
  <c r="D12" i="6"/>
  <c r="U12" i="6"/>
  <c r="V11" i="6"/>
  <c r="K11" i="6"/>
  <c r="F11" i="6"/>
  <c r="S11" i="6"/>
  <c r="T11" i="6" s="1"/>
  <c r="D11" i="6"/>
  <c r="U11" i="6"/>
  <c r="V10" i="6"/>
  <c r="K10" i="6"/>
  <c r="F10" i="6"/>
  <c r="N10" i="6"/>
  <c r="D10" i="6"/>
  <c r="K9" i="6"/>
  <c r="I9" i="6"/>
  <c r="F9" i="6"/>
  <c r="S9" i="6"/>
  <c r="B9" i="6"/>
  <c r="D9" i="6"/>
  <c r="U9" i="6"/>
  <c r="K8" i="6"/>
  <c r="N8" i="6"/>
  <c r="I8" i="6"/>
  <c r="F8" i="6"/>
  <c r="D8" i="6"/>
  <c r="U8" i="6"/>
  <c r="I7" i="6"/>
  <c r="D7" i="6"/>
  <c r="U7" i="6"/>
  <c r="K6" i="6"/>
  <c r="I6" i="6"/>
  <c r="F6" i="6"/>
  <c r="N6" i="6"/>
  <c r="D6" i="6"/>
  <c r="K5" i="6"/>
  <c r="F5" i="6"/>
  <c r="I5" i="6"/>
  <c r="D5" i="6"/>
  <c r="K4" i="6"/>
  <c r="I4" i="6"/>
  <c r="F4" i="6"/>
  <c r="N4" i="6"/>
  <c r="D4" i="6"/>
  <c r="U4" i="6"/>
  <c r="K3" i="6"/>
  <c r="I3" i="6"/>
  <c r="F3" i="6"/>
  <c r="D3" i="6"/>
  <c r="U3" i="6"/>
  <c r="K14" i="5"/>
  <c r="U14" i="5"/>
  <c r="F14" i="5"/>
  <c r="N14" i="5"/>
  <c r="D14" i="5"/>
  <c r="U10" i="5"/>
  <c r="U11" i="5"/>
  <c r="U12" i="5"/>
  <c r="U13" i="5"/>
  <c r="Y13" i="5"/>
  <c r="K13" i="5"/>
  <c r="F13" i="5"/>
  <c r="N13" i="5"/>
  <c r="D13" i="5"/>
  <c r="T13" i="5"/>
  <c r="Y12" i="5"/>
  <c r="U6" i="5"/>
  <c r="U7" i="5"/>
  <c r="U8" i="5"/>
  <c r="U5" i="5"/>
  <c r="K12" i="5"/>
  <c r="Q12" i="5"/>
  <c r="S12" i="5"/>
  <c r="F12" i="5"/>
  <c r="D12" i="5"/>
  <c r="T12" i="5"/>
  <c r="Y11" i="5"/>
  <c r="K11" i="5"/>
  <c r="F11" i="5"/>
  <c r="N11" i="5"/>
  <c r="Q11" i="5"/>
  <c r="S11" i="5"/>
  <c r="D11" i="5"/>
  <c r="T11" i="5"/>
  <c r="Y10" i="5"/>
  <c r="K10" i="5"/>
  <c r="F10" i="5"/>
  <c r="Q10" i="5"/>
  <c r="S10" i="5"/>
  <c r="N10" i="5"/>
  <c r="D10" i="5"/>
  <c r="T10" i="5"/>
  <c r="Y9" i="5"/>
  <c r="K9" i="5"/>
  <c r="O9" i="5"/>
  <c r="I9" i="5"/>
  <c r="F9" i="5"/>
  <c r="B9" i="5"/>
  <c r="U9" i="5"/>
  <c r="Y8" i="5"/>
  <c r="K8" i="5"/>
  <c r="I8" i="5"/>
  <c r="F8" i="5"/>
  <c r="O8" i="5"/>
  <c r="D8" i="5"/>
  <c r="T8" i="5"/>
  <c r="Y7" i="5"/>
  <c r="K7" i="5"/>
  <c r="I7" i="5"/>
  <c r="F7" i="5"/>
  <c r="Q7" i="5"/>
  <c r="S7" i="5"/>
  <c r="N7" i="5"/>
  <c r="D7" i="5"/>
  <c r="T7" i="5"/>
  <c r="Y6" i="5"/>
  <c r="K6" i="5"/>
  <c r="I6" i="5"/>
  <c r="F6" i="5"/>
  <c r="O6" i="5"/>
  <c r="D6" i="5"/>
  <c r="T6" i="5"/>
  <c r="Y5" i="5"/>
  <c r="K5" i="5"/>
  <c r="I5" i="5"/>
  <c r="F5" i="5"/>
  <c r="Q5" i="5"/>
  <c r="N5" i="5"/>
  <c r="D5" i="5"/>
  <c r="T5" i="5"/>
  <c r="Y4" i="5"/>
  <c r="U4" i="5"/>
  <c r="K4" i="5"/>
  <c r="Q4" i="5"/>
  <c r="S4" i="5"/>
  <c r="AA4" i="5"/>
  <c r="I4" i="5"/>
  <c r="F4" i="5"/>
  <c r="N4" i="5"/>
  <c r="D4" i="5"/>
  <c r="T4" i="5"/>
  <c r="U3" i="5"/>
  <c r="K3" i="5"/>
  <c r="Q3" i="5"/>
  <c r="S3" i="5"/>
  <c r="I3" i="5"/>
  <c r="F3" i="5"/>
  <c r="O3" i="5"/>
  <c r="D3" i="5"/>
  <c r="T3" i="5"/>
  <c r="Y11" i="3"/>
  <c r="K11" i="3"/>
  <c r="F11" i="3"/>
  <c r="Q11" i="3"/>
  <c r="S11" i="3"/>
  <c r="D11" i="3"/>
  <c r="T11" i="3"/>
  <c r="Y10" i="3"/>
  <c r="U10" i="3"/>
  <c r="K10" i="3"/>
  <c r="F10" i="3"/>
  <c r="N10" i="3"/>
  <c r="Q10" i="3"/>
  <c r="S10" i="3"/>
  <c r="D10" i="3"/>
  <c r="T10" i="3"/>
  <c r="Y9" i="3"/>
  <c r="K9" i="3"/>
  <c r="O9" i="3"/>
  <c r="S9" i="3"/>
  <c r="I9" i="3"/>
  <c r="F9" i="3"/>
  <c r="N9" i="3"/>
  <c r="B9" i="3"/>
  <c r="U9" i="3"/>
  <c r="Y8" i="3"/>
  <c r="U8" i="3"/>
  <c r="K8" i="3"/>
  <c r="I8" i="3"/>
  <c r="F8" i="3"/>
  <c r="Q8" i="3"/>
  <c r="O8" i="3"/>
  <c r="S8" i="3"/>
  <c r="D8" i="3"/>
  <c r="T8" i="3"/>
  <c r="Y7" i="3"/>
  <c r="U7" i="3"/>
  <c r="K7" i="3"/>
  <c r="O7" i="3"/>
  <c r="S7" i="3"/>
  <c r="I7" i="3"/>
  <c r="F7" i="3"/>
  <c r="D7" i="3"/>
  <c r="T7" i="3"/>
  <c r="Y6" i="3"/>
  <c r="U6" i="3"/>
  <c r="K6" i="3"/>
  <c r="Q6" i="3"/>
  <c r="I6" i="3"/>
  <c r="F6" i="3"/>
  <c r="D6" i="3"/>
  <c r="T6" i="3"/>
  <c r="Y5" i="3"/>
  <c r="U5" i="3"/>
  <c r="K5" i="3"/>
  <c r="I5" i="3"/>
  <c r="F5" i="3"/>
  <c r="O5" i="3"/>
  <c r="S5" i="3"/>
  <c r="D5" i="3"/>
  <c r="T5" i="3"/>
  <c r="Y4" i="3"/>
  <c r="U4" i="3"/>
  <c r="K4" i="3"/>
  <c r="O4" i="3"/>
  <c r="S4" i="3"/>
  <c r="Q4" i="3"/>
  <c r="I4" i="3"/>
  <c r="F4" i="3"/>
  <c r="N4" i="3"/>
  <c r="D4" i="3"/>
  <c r="T4" i="3"/>
  <c r="U3" i="3"/>
  <c r="K3" i="3"/>
  <c r="Q3" i="3"/>
  <c r="O3" i="3"/>
  <c r="S3" i="3"/>
  <c r="I3" i="3"/>
  <c r="F3" i="3"/>
  <c r="N3" i="3"/>
  <c r="D3" i="3"/>
  <c r="T3" i="3"/>
  <c r="N3" i="5"/>
  <c r="V9" i="6"/>
  <c r="Q8" i="5"/>
  <c r="S8" i="5"/>
  <c r="N8" i="3"/>
  <c r="N6" i="5"/>
  <c r="Q13" i="5"/>
  <c r="S13" i="5"/>
  <c r="Z7" i="6"/>
  <c r="N7" i="3"/>
  <c r="Q7" i="3"/>
  <c r="O7" i="5"/>
  <c r="O4" i="5"/>
  <c r="X13" i="5"/>
  <c r="N6" i="3"/>
  <c r="Q5" i="3"/>
  <c r="D9" i="5"/>
  <c r="T9" i="5"/>
  <c r="N9" i="5"/>
  <c r="Q14" i="5"/>
  <c r="N12" i="5"/>
  <c r="Z6" i="6"/>
  <c r="N3" i="6"/>
  <c r="O9" i="6"/>
  <c r="Z10" i="6"/>
  <c r="U10" i="6"/>
  <c r="O3" i="6"/>
  <c r="N9" i="6"/>
  <c r="N15" i="6"/>
  <c r="AC11" i="6"/>
  <c r="S10" i="6"/>
  <c r="N11" i="6"/>
  <c r="N7" i="6"/>
  <c r="O8" i="6"/>
  <c r="N13" i="6"/>
  <c r="U6" i="6"/>
  <c r="S5" i="6"/>
  <c r="O6" i="6"/>
  <c r="Y8" i="6"/>
  <c r="S8" i="6"/>
  <c r="AB8" i="6" s="1"/>
  <c r="Y12" i="6"/>
  <c r="S12" i="6"/>
  <c r="AB12" i="6" s="1"/>
  <c r="S4" i="6"/>
  <c r="AE14" i="6"/>
  <c r="S14" i="6"/>
  <c r="AC14" i="6" s="1"/>
  <c r="AA13" i="5"/>
  <c r="Z13" i="5"/>
  <c r="AA7" i="5"/>
  <c r="Z7" i="5"/>
  <c r="Z11" i="5"/>
  <c r="AA11" i="5"/>
  <c r="Z12" i="5"/>
  <c r="AA12" i="5"/>
  <c r="Z3" i="5"/>
  <c r="AA3" i="5"/>
  <c r="Z10" i="5"/>
  <c r="AA10" i="5"/>
  <c r="S7" i="6"/>
  <c r="AC7" i="6" s="1"/>
  <c r="AE15" i="6"/>
  <c r="AE9" i="6"/>
  <c r="AE8" i="6"/>
  <c r="AE10" i="6"/>
  <c r="AE11" i="6"/>
  <c r="S5" i="5"/>
  <c r="X5" i="5"/>
  <c r="S3" i="6"/>
  <c r="AC3" i="6" s="1"/>
  <c r="Y7" i="6"/>
  <c r="Y14" i="6"/>
  <c r="Y9" i="6"/>
  <c r="Y10" i="6"/>
  <c r="Y11" i="6"/>
  <c r="Y15" i="6"/>
  <c r="AA8" i="5"/>
  <c r="Z8" i="5"/>
  <c r="X8" i="3"/>
  <c r="X6" i="3"/>
  <c r="X10" i="3"/>
  <c r="X5" i="3"/>
  <c r="X7" i="3"/>
  <c r="X11" i="3"/>
  <c r="X9" i="3"/>
  <c r="X4" i="3"/>
  <c r="X11" i="5"/>
  <c r="U5" i="6"/>
  <c r="I13" i="8"/>
  <c r="I5" i="8"/>
  <c r="AB11" i="6"/>
  <c r="N5" i="6"/>
  <c r="X12" i="5"/>
  <c r="Q6" i="5"/>
  <c r="O5" i="5"/>
  <c r="X4" i="5"/>
  <c r="Z4" i="5"/>
  <c r="N8" i="5"/>
  <c r="N5" i="3"/>
  <c r="O7" i="6"/>
  <c r="I12" i="8"/>
  <c r="N14" i="8"/>
  <c r="N6" i="8"/>
  <c r="Q9" i="5"/>
  <c r="S9" i="5"/>
  <c r="N12" i="6"/>
  <c r="X8" i="5"/>
  <c r="O5" i="6"/>
  <c r="I11" i="8"/>
  <c r="N13" i="8"/>
  <c r="N5" i="8"/>
  <c r="N14" i="6"/>
  <c r="O4" i="6"/>
  <c r="O6" i="3"/>
  <c r="S6" i="3"/>
  <c r="X10" i="5"/>
  <c r="D9" i="3"/>
  <c r="T9" i="3"/>
  <c r="I9" i="8"/>
  <c r="S16" i="6"/>
  <c r="AC16" i="6" s="1"/>
  <c r="Y6" i="6"/>
  <c r="S6" i="6"/>
  <c r="AB6" i="6" s="1"/>
  <c r="Q9" i="3"/>
  <c r="X7" i="5"/>
  <c r="O12" i="3"/>
  <c r="O13" i="3"/>
  <c r="Y13" i="6"/>
  <c r="S13" i="6"/>
  <c r="AB13" i="6" s="1"/>
  <c r="I4" i="8"/>
  <c r="I8" i="8"/>
  <c r="I15" i="8"/>
  <c r="Y4" i="6"/>
  <c r="AE12" i="6"/>
  <c r="T3" i="6"/>
  <c r="AC13" i="6"/>
  <c r="AA9" i="5"/>
  <c r="Z9" i="5"/>
  <c r="AE16" i="6"/>
  <c r="Z5" i="5"/>
  <c r="AA5" i="5"/>
  <c r="X9" i="5"/>
  <c r="AB16" i="6"/>
  <c r="X6" i="5"/>
  <c r="S6" i="5"/>
  <c r="AB13" i="5"/>
  <c r="AB10" i="5"/>
  <c r="AB9" i="5"/>
  <c r="AB3" i="5"/>
  <c r="AB5" i="5"/>
  <c r="AB11" i="5"/>
  <c r="AB8" i="5"/>
  <c r="AB4" i="5"/>
  <c r="AB7" i="5"/>
  <c r="AB12" i="5"/>
  <c r="Y16" i="6"/>
  <c r="AE13" i="6"/>
  <c r="Z6" i="5"/>
  <c r="AB6" i="5"/>
  <c r="AA6" i="5"/>
  <c r="T13" i="6" l="1"/>
  <c r="AA13" i="6" s="1"/>
  <c r="T16" i="6"/>
  <c r="AA16" i="6" s="1"/>
  <c r="AC8" i="6"/>
  <c r="T7" i="6"/>
  <c r="AB7" i="6"/>
  <c r="AF11" i="6"/>
  <c r="T6" i="6"/>
  <c r="AA6" i="6" s="1"/>
  <c r="AC6" i="6"/>
  <c r="AA17" i="6"/>
  <c r="AA18" i="6"/>
  <c r="AA19" i="6"/>
  <c r="AC10" i="6"/>
  <c r="T10" i="6"/>
  <c r="AA10" i="6" s="1"/>
  <c r="AB10" i="6"/>
  <c r="AB15" i="6"/>
  <c r="T15" i="6"/>
  <c r="AC15" i="6"/>
  <c r="AC4" i="6"/>
  <c r="AB4" i="6"/>
  <c r="T4" i="6"/>
  <c r="AA4" i="6" s="1"/>
  <c r="AC9" i="6"/>
  <c r="AB9" i="6"/>
  <c r="T9" i="6"/>
  <c r="AC5" i="6"/>
  <c r="AB5" i="6"/>
  <c r="T5" i="6"/>
  <c r="AA5" i="6" s="1"/>
  <c r="Y5" i="6"/>
  <c r="T14" i="6"/>
  <c r="AA14" i="6" s="1"/>
  <c r="AA11" i="6"/>
  <c r="AB3" i="6"/>
  <c r="AB14" i="6"/>
  <c r="AC12" i="6"/>
  <c r="AA15" i="6"/>
  <c r="AF14" i="6"/>
  <c r="T12" i="6"/>
  <c r="T8" i="6"/>
  <c r="AA8" i="6" s="1"/>
  <c r="AF13" i="6" l="1"/>
  <c r="AF15" i="6"/>
  <c r="AF8" i="6"/>
  <c r="AF19" i="6"/>
  <c r="AF18" i="6"/>
  <c r="AF17" i="6"/>
  <c r="AA7" i="6"/>
  <c r="AF10" i="6"/>
  <c r="AF16" i="6"/>
  <c r="AD19" i="6"/>
  <c r="AD17" i="6"/>
  <c r="AD18" i="6"/>
  <c r="AD16" i="6"/>
  <c r="AD7" i="6"/>
  <c r="AD15" i="6"/>
  <c r="AD10" i="6"/>
  <c r="AD12" i="6"/>
  <c r="AD6" i="6"/>
  <c r="AD14" i="6"/>
  <c r="AD9" i="6"/>
  <c r="AD4" i="6"/>
  <c r="AD3" i="6"/>
  <c r="AD11" i="6"/>
  <c r="AD5" i="6"/>
  <c r="AD8" i="6"/>
  <c r="AD13" i="6"/>
  <c r="AA9" i="6"/>
  <c r="AF9" i="6"/>
  <c r="AF12" i="6"/>
  <c r="AA12" i="6"/>
</calcChain>
</file>

<file path=xl/sharedStrings.xml><?xml version="1.0" encoding="utf-8"?>
<sst xmlns="http://schemas.openxmlformats.org/spreadsheetml/2006/main" count="166" uniqueCount="81">
  <si>
    <t>Total Energy</t>
  </si>
  <si>
    <t xml:space="preserve"> </t>
  </si>
  <si>
    <t>Fiscal Year</t>
  </si>
  <si>
    <t>Cogen electricity, kWh</t>
  </si>
  <si>
    <t>Purchased, kWh</t>
  </si>
  <si>
    <t>Total electricity, kWh</t>
  </si>
  <si>
    <t>Solar Renewable, kWh</t>
  </si>
  <si>
    <t>Purchased Elect, MMBtu</t>
  </si>
  <si>
    <t>Plant Gas meters, MMBtu*</t>
  </si>
  <si>
    <t>Plant Gas bills MMBtu##</t>
  </si>
  <si>
    <t>% Difference b/n plant gas and billed plant gas</t>
  </si>
  <si>
    <t>Diesel oil, gal</t>
  </si>
  <si>
    <t>Diesel oil, MMBtu</t>
  </si>
  <si>
    <t>Building Gas (w/o plant), MMBtu</t>
  </si>
  <si>
    <t>Geothermal, MMBtu</t>
  </si>
  <si>
    <t>Nonrenewable energy, MMBtu</t>
  </si>
  <si>
    <t>Total campus energy use, MMBtu</t>
  </si>
  <si>
    <t>GSF original</t>
  </si>
  <si>
    <r>
      <t>GSF</t>
    </r>
    <r>
      <rPr>
        <vertAlign val="superscript"/>
        <sz val="9"/>
        <color indexed="8"/>
        <rFont val="Calibri"/>
        <family val="2"/>
      </rPr>
      <t>#</t>
    </r>
  </si>
  <si>
    <t>Total Btu per square foot</t>
  </si>
  <si>
    <t>kwh per square feet</t>
  </si>
  <si>
    <t>Gas to Cogen electricity</t>
  </si>
  <si>
    <t>Cooling degree days</t>
  </si>
  <si>
    <t>Heating degree days</t>
  </si>
  <si>
    <t>% change in energy use from 2004</t>
  </si>
  <si>
    <t>* From records provided by Utilities from metering at the equipment end of MMSCF x 1030 MMBtu/MMSCF</t>
  </si>
  <si>
    <t>**Includes Lincoln and Grant Halls</t>
  </si>
  <si>
    <t># From 2004 to 2005 there was a change in space accounting that reduced the overall GSF; from 2007 to 2008 there was a change in space accounting that increased the GSF; from 2009-2010 the SPHE was demolished</t>
  </si>
  <si>
    <t>## FY09 Dec through April amounts were reduced due to supercompressibility adjustments (complaint filed against Vendor 2/13/9)</t>
  </si>
  <si>
    <t>1 kWh =</t>
  </si>
  <si>
    <t>MMBtu</t>
  </si>
  <si>
    <t xml:space="preserve">1 gal = </t>
  </si>
  <si>
    <t>Compatibility Report for Total energy.xls</t>
  </si>
  <si>
    <t>Run on 2/16/2012 14:31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</si>
  <si>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</si>
  <si>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</si>
  <si>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</si>
  <si>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</si>
  <si>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Doesn’t include Geothermal</t>
  </si>
  <si>
    <t>% change in GSF from 2004</t>
  </si>
  <si>
    <t>Cooling degree days^</t>
  </si>
  <si>
    <t>Heating degree days^</t>
  </si>
  <si>
    <t>Total kBtu per square foot</t>
  </si>
  <si>
    <t>^Source for Degree Days from FY04-FY14: http://www.ncdc.noaa.gov/cdo-web/datasets/GHCNDMS/stations/GHCND:USC00111577/detail</t>
  </si>
  <si>
    <t>energy/sq. ft./degree day</t>
  </si>
  <si>
    <t>Total kBtu per sq ft per CDD</t>
  </si>
  <si>
    <t>Total Btu per sq ft per HDD</t>
  </si>
  <si>
    <t>Savings per sq ft per HDD vs 2004</t>
  </si>
  <si>
    <t>Maxwell St. Parking lot</t>
  </si>
  <si>
    <t>Year</t>
  </si>
  <si>
    <t>Water, MCF</t>
  </si>
  <si>
    <t>Water, gal</t>
  </si>
  <si>
    <t>Thousands of gallons</t>
  </si>
  <si>
    <t>FY12</t>
  </si>
  <si>
    <t>FY13</t>
  </si>
  <si>
    <t>FY14</t>
  </si>
  <si>
    <t>FY15</t>
  </si>
  <si>
    <t>FY16</t>
  </si>
  <si>
    <t>% decrease</t>
  </si>
  <si>
    <t>East</t>
  </si>
  <si>
    <t>West</t>
  </si>
  <si>
    <t>Total</t>
  </si>
  <si>
    <t>MCF to 1000 Gallons</t>
  </si>
  <si>
    <t>MWh electricity per square feet</t>
  </si>
  <si>
    <t>% change in EUI from 2004</t>
  </si>
  <si>
    <t>% change in EUI from 2008</t>
  </si>
  <si>
    <t>Total EUI MWh/year/GSF</t>
  </si>
  <si>
    <t>Gas to Cogen electricity MMBtu/KWh</t>
  </si>
  <si>
    <t>% change in energy use from 2008</t>
  </si>
  <si>
    <t>^Source for Degree Days from FY04-FY15: http://www.ncdc.noaa.gov/cdo-web/datasets/GHCNDMS/stations/GHCND:USC00111577/detail FY2017 http://www.degreedays.net/</t>
  </si>
  <si>
    <t>Total Energy MMBTU</t>
  </si>
  <si>
    <t>Co-gen Electricity</t>
  </si>
  <si>
    <t>Co-gen Steam</t>
  </si>
  <si>
    <t>Other On-Campus Stationary</t>
  </si>
  <si>
    <t>Direct Transportation</t>
  </si>
  <si>
    <t>Purchased Electricity</t>
  </si>
  <si>
    <t>Total Energy Use</t>
  </si>
  <si>
    <t>%change in energy use from 2004</t>
  </si>
  <si>
    <t>KMBTU/GSF</t>
  </si>
  <si>
    <t>Total Energy Use MMBtu</t>
  </si>
  <si>
    <t>for Degree days from FY2018 https://portfoliomanager.energystar.gov/pm/degreeDaysCalculator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</si>
</sst>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0"/>
    <numFmt numFmtId="165" formatCode="0.0"/>
    <numFmt numFmtId="166" formatCode="_(* #,##0_);_(* \(#,##0\);_(* &quot;-&quot;??_);_(@_)"/>
    <numFmt numFmtId="167" formatCode="#,##0.000"/>
  </numFmts>
  <fonts count="18" x14ac:knownFonts="1">
    <font>
      <sz val="11"/>
      <color theme="1"/>
      <name val="Calibri"/>
      <family val="2"/>
      <scheme val="minor"/>
    </font>
    <font>
      <vertAlign val="superscript"/>
      <sz val="9"/>
      <color indexed="8"/>
      <name val="Calibri"/>
      <family val="2"/>
    </font>
    <font>
      <b/>
      <sz val="8"/>
      <name val="Times New Roman"/>
      <family val="1"/>
    </font>
    <font>
      <sz val="8"/>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name val="Calibri"/>
      <family val="2"/>
      <scheme val="minor"/>
    </font>
    <font>
      <sz val="11"/>
      <color rgb="FFC00000"/>
      <name val="Calibri"/>
      <family val="2"/>
      <scheme val="minor"/>
    </font>
    <font>
      <i/>
      <sz val="11"/>
      <name val="Calibri"/>
      <family val="2"/>
      <scheme val="minor"/>
    </font>
    <font>
      <sz val="11"/>
      <color rgb="FF000000"/>
      <name val="Verdana"/>
      <family val="2"/>
    </font>
    <font>
      <sz val="10"/>
      <color rgb="FF000000"/>
      <name val="Arial"/>
    </font>
    <font>
      <sz val="11"/>
      <name val="Arial"/>
    </font>
    <font>
      <sz val="11"/>
      <color rgb="FF000000"/>
      <name val="Calibri"/>
    </font>
    <font>
      <sz val="10"/>
      <color rgb="FF000000"/>
      <name val="Arial"/>
      <family val="2"/>
    </font>
    <font>
      <sz val="11"/>
      <name val="Arial"/>
      <family val="2"/>
    </font>
  </fonts>
  <fills count="14">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26"/>
        <bgColor indexed="64"/>
      </patternFill>
    </fill>
    <fill>
      <patternFill patternType="solid">
        <fgColor theme="5"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6795556505021"/>
        <bgColor indexed="64"/>
      </patternFill>
    </fill>
    <fill>
      <patternFill patternType="solid">
        <fgColor rgb="FFEBF6FF"/>
      </patternFill>
    </fill>
    <fill>
      <patternFill patternType="solid">
        <fgColor theme="7" tint="0.59999389629810485"/>
        <bgColor indexed="64"/>
      </patternFill>
    </fill>
    <fill>
      <patternFill patternType="solid">
        <fgColor rgb="FFFFFFFF"/>
        <bgColor rgb="FFFFFFFF"/>
      </patternFill>
    </fill>
  </fills>
  <borders count="17">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style="medium">
        <color indexed="23"/>
      </left>
      <right style="thin">
        <color indexed="23"/>
      </right>
      <top/>
      <bottom/>
      <diagonal/>
    </border>
    <border>
      <left style="thin">
        <color indexed="23"/>
      </left>
      <right style="thin">
        <color indexed="23"/>
      </right>
      <top/>
      <bottom/>
      <diagonal/>
    </border>
    <border>
      <left/>
      <right style="thin">
        <color indexed="23"/>
      </right>
      <top/>
      <bottom/>
      <diagonal/>
    </border>
    <border>
      <left style="medium">
        <color indexed="23"/>
      </left>
      <right style="medium">
        <color indexed="23"/>
      </right>
      <top/>
      <bottom/>
      <diagonal/>
    </border>
    <border>
      <left style="medium">
        <color indexed="23"/>
      </left>
      <right style="thin">
        <color indexed="23"/>
      </right>
      <top style="double">
        <color indexed="23"/>
      </top>
      <bottom style="double">
        <color indexed="23"/>
      </bottom>
      <diagonal/>
    </border>
    <border>
      <left style="thin">
        <color indexed="23"/>
      </left>
      <right style="thin">
        <color indexed="23"/>
      </right>
      <top style="double">
        <color indexed="23"/>
      </top>
      <bottom style="double">
        <color indexed="23"/>
      </bottom>
      <diagonal/>
    </border>
    <border>
      <left/>
      <right style="thin">
        <color indexed="23"/>
      </right>
      <top style="double">
        <color indexed="23"/>
      </top>
      <bottom style="double">
        <color indexed="23"/>
      </bottom>
      <diagonal/>
    </border>
    <border>
      <left style="medium">
        <color indexed="23"/>
      </left>
      <right style="medium">
        <color indexed="23"/>
      </right>
      <top style="double">
        <color indexed="23"/>
      </top>
      <bottom style="double">
        <color indexed="23"/>
      </bottom>
      <diagonal/>
    </border>
    <border>
      <left style="thick">
        <color indexed="23"/>
      </left>
      <right style="medium">
        <color indexed="23"/>
      </right>
      <top/>
      <bottom/>
      <diagonal/>
    </border>
    <border>
      <left style="thick">
        <color indexed="23"/>
      </left>
      <right style="medium">
        <color indexed="23"/>
      </right>
      <top style="double">
        <color indexed="23"/>
      </top>
      <bottom style="double">
        <color indexed="23"/>
      </bottom>
      <diagonal/>
    </border>
    <border>
      <left/>
      <right/>
      <top style="thin">
        <color rgb="FFD8D8D8"/>
      </top>
      <bottom/>
      <diagonal/>
    </border>
    <border>
      <left style="thin">
        <color rgb="FF000000"/>
      </left>
      <right style="thin">
        <color rgb="FF000000"/>
      </right>
      <top/>
      <bottom style="thin">
        <color rgb="FF000000"/>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9" fontId="4" fillId="0" borderId="0" applyFont="0" applyFill="0" applyBorder="0" applyAlignment="0" applyProtection="0"/>
    <xf numFmtId="0" fontId="13" fillId="0" borderId="0"/>
    <xf numFmtId="0" fontId="16" fillId="0" borderId="0"/>
  </cellStyleXfs>
  <cellXfs count="80">
    <xf numFmtId="0" fontId="0" fillId="0" borderId="0" xfId="0"/>
    <xf numFmtId="0" fontId="8" fillId="0" borderId="0" xfId="0" applyFont="1" applyAlignment="1">
      <alignment horizontal="centerContinuous" vertical="center" wrapText="1"/>
    </xf>
    <xf numFmtId="0" fontId="8" fillId="5" borderId="0" xfId="0" applyFont="1" applyFill="1" applyAlignment="1">
      <alignment horizontal="centerContinuous" vertical="center" wrapText="1"/>
    </xf>
    <xf numFmtId="0" fontId="8" fillId="6" borderId="0" xfId="0" applyFont="1" applyFill="1" applyAlignment="1">
      <alignment horizontal="centerContinuous" vertical="center" wrapText="1"/>
    </xf>
    <xf numFmtId="0" fontId="8" fillId="7" borderId="0" xfId="0" applyFont="1" applyFill="1" applyAlignment="1">
      <alignment horizontal="centerContinuous" vertical="center" wrapText="1"/>
    </xf>
    <xf numFmtId="0" fontId="8" fillId="8" borderId="0" xfId="0" applyFont="1" applyFill="1" applyAlignment="1">
      <alignment horizontal="centerContinuous" vertical="center" wrapText="1"/>
    </xf>
    <xf numFmtId="0" fontId="8" fillId="9" borderId="0" xfId="0" applyFont="1" applyFill="1" applyAlignment="1">
      <alignment horizontal="centerContinuous" vertical="center" wrapText="1"/>
    </xf>
    <xf numFmtId="3" fontId="0" fillId="0" borderId="0" xfId="0" applyNumberFormat="1"/>
    <xf numFmtId="3" fontId="0" fillId="5" borderId="0" xfId="0" applyNumberFormat="1" applyFill="1"/>
    <xf numFmtId="3" fontId="0" fillId="6" borderId="0" xfId="0" applyNumberFormat="1" applyFill="1"/>
    <xf numFmtId="3" fontId="0" fillId="7" borderId="0" xfId="0" applyNumberFormat="1" applyFill="1"/>
    <xf numFmtId="10" fontId="0" fillId="8" borderId="0" xfId="0" applyNumberFormat="1" applyFill="1"/>
    <xf numFmtId="3" fontId="0" fillId="9" borderId="0" xfId="0" applyNumberFormat="1" applyFill="1"/>
    <xf numFmtId="9" fontId="0" fillId="0" borderId="0" xfId="0" applyNumberFormat="1"/>
    <xf numFmtId="164" fontId="0" fillId="0" borderId="0" xfId="0" applyNumberFormat="1"/>
    <xf numFmtId="0" fontId="0" fillId="0" borderId="0" xfId="0" applyAlignment="1">
      <alignment vertical="center"/>
    </xf>
    <xf numFmtId="0" fontId="6"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wrapText="1"/>
    </xf>
    <xf numFmtId="3" fontId="9" fillId="0" borderId="0" xfId="0" applyNumberFormat="1" applyFont="1"/>
    <xf numFmtId="3" fontId="9" fillId="6" borderId="0" xfId="0" applyNumberFormat="1" applyFont="1" applyFill="1"/>
    <xf numFmtId="3" fontId="10" fillId="0" borderId="0" xfId="0" applyNumberFormat="1" applyFont="1"/>
    <xf numFmtId="3" fontId="10" fillId="6" borderId="0" xfId="0" applyNumberFormat="1" applyFont="1" applyFill="1"/>
    <xf numFmtId="0" fontId="0" fillId="0" borderId="0" xfId="0" applyAlignment="1">
      <alignment wrapText="1"/>
    </xf>
    <xf numFmtId="3" fontId="0" fillId="0" borderId="0" xfId="0" applyNumberFormat="1" applyFill="1"/>
    <xf numFmtId="3" fontId="7" fillId="6" borderId="0" xfId="0" applyNumberFormat="1" applyFont="1" applyFill="1"/>
    <xf numFmtId="4" fontId="0" fillId="9" borderId="0" xfId="0" applyNumberFormat="1" applyFill="1"/>
    <xf numFmtId="165" fontId="0" fillId="0" borderId="0" xfId="0" applyNumberFormat="1"/>
    <xf numFmtId="166" fontId="4" fillId="10" borderId="4" xfId="1" applyNumberFormat="1" applyFont="1" applyFill="1" applyBorder="1"/>
    <xf numFmtId="3" fontId="11" fillId="6" borderId="0" xfId="0" applyNumberFormat="1" applyFont="1" applyFill="1"/>
    <xf numFmtId="166" fontId="4" fillId="10" borderId="0" xfId="1" applyNumberFormat="1" applyFont="1" applyFill="1" applyBorder="1"/>
    <xf numFmtId="0" fontId="0" fillId="0" borderId="0" xfId="0" applyAlignment="1">
      <alignment wrapText="1"/>
    </xf>
    <xf numFmtId="9" fontId="4" fillId="0" borderId="0" xfId="3" applyFont="1"/>
    <xf numFmtId="0" fontId="12" fillId="11" borderId="15" xfId="0" applyFont="1" applyFill="1" applyBorder="1" applyAlignment="1">
      <alignment horizontal="left" vertical="center"/>
    </xf>
    <xf numFmtId="166" fontId="6" fillId="10" borderId="4" xfId="1" applyNumberFormat="1" applyFont="1" applyFill="1" applyBorder="1"/>
    <xf numFmtId="166" fontId="6" fillId="10" borderId="4" xfId="1" applyNumberFormat="1" applyFont="1" applyFill="1" applyBorder="1"/>
    <xf numFmtId="0" fontId="0" fillId="0" borderId="0" xfId="0"/>
    <xf numFmtId="166" fontId="6" fillId="10" borderId="4" xfId="1" applyNumberFormat="1" applyFont="1" applyFill="1" applyBorder="1"/>
    <xf numFmtId="166" fontId="0" fillId="0" borderId="0" xfId="0" applyNumberFormat="1"/>
    <xf numFmtId="167" fontId="0" fillId="9" borderId="0" xfId="0" applyNumberFormat="1" applyFill="1"/>
    <xf numFmtId="167" fontId="0" fillId="0" borderId="0" xfId="0" applyNumberFormat="1"/>
    <xf numFmtId="0" fontId="8" fillId="12" borderId="0" xfId="0" applyFont="1" applyFill="1" applyAlignment="1">
      <alignment horizontal="centerContinuous" vertical="center" wrapText="1"/>
    </xf>
    <xf numFmtId="0" fontId="0" fillId="12" borderId="0" xfId="0" applyFill="1"/>
    <xf numFmtId="9" fontId="0" fillId="12" borderId="0" xfId="0" applyNumberFormat="1" applyFill="1"/>
    <xf numFmtId="0" fontId="0" fillId="8" borderId="0" xfId="0" applyFill="1"/>
    <xf numFmtId="9" fontId="0" fillId="8" borderId="0" xfId="0" applyNumberFormat="1" applyFill="1"/>
    <xf numFmtId="166" fontId="4" fillId="8" borderId="4" xfId="1" applyNumberFormat="1" applyFont="1" applyFill="1" applyBorder="1"/>
    <xf numFmtId="3" fontId="7" fillId="0" borderId="0" xfId="0" applyNumberFormat="1" applyFont="1"/>
    <xf numFmtId="0" fontId="7" fillId="0" borderId="0" xfId="0" applyFont="1"/>
    <xf numFmtId="0" fontId="2" fillId="2" borderId="5" xfId="0" applyFont="1" applyFill="1" applyBorder="1" applyAlignment="1">
      <alignment horizontal="centerContinuous" vertical="center" wrapText="1"/>
    </xf>
    <xf numFmtId="0" fontId="2" fillId="2" borderId="6" xfId="0" applyFont="1" applyFill="1" applyBorder="1" applyAlignment="1">
      <alignment horizontal="centerContinuous" vertical="center" wrapText="1"/>
    </xf>
    <xf numFmtId="0" fontId="2" fillId="2" borderId="7" xfId="0" applyFont="1" applyFill="1" applyBorder="1" applyAlignment="1">
      <alignment horizontal="centerContinuous" vertical="center" wrapText="1"/>
    </xf>
    <xf numFmtId="0" fontId="2"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12" xfId="0" applyFill="1" applyBorder="1" applyAlignment="1">
      <alignment horizontal="center" vertical="center" wrapText="1"/>
    </xf>
    <xf numFmtId="0" fontId="2" fillId="3" borderId="8" xfId="2" applyFont="1" applyFill="1" applyBorder="1" applyAlignment="1">
      <alignment horizontal="center" vertical="center" wrapText="1"/>
    </xf>
    <xf numFmtId="0" fontId="0" fillId="3" borderId="12" xfId="0" applyFill="1" applyBorder="1" applyAlignment="1">
      <alignment horizontal="center" vertical="center" wrapText="1"/>
    </xf>
    <xf numFmtId="0" fontId="2" fillId="4" borderId="13" xfId="0" applyFont="1" applyFill="1" applyBorder="1" applyAlignment="1">
      <alignment horizontal="center" vertical="center" wrapText="1"/>
    </xf>
    <xf numFmtId="0" fontId="0" fillId="4" borderId="14" xfId="0" applyFill="1" applyBorder="1" applyAlignment="1">
      <alignment horizontal="center" vertical="center" wrapText="1"/>
    </xf>
    <xf numFmtId="9" fontId="4" fillId="0" borderId="0" xfId="3" applyFont="1"/>
    <xf numFmtId="0" fontId="8" fillId="0" borderId="0" xfId="0" applyFont="1" applyFill="1" applyBorder="1" applyAlignment="1">
      <alignment horizontal="centerContinuous" vertical="center" wrapText="1"/>
    </xf>
    <xf numFmtId="166" fontId="4" fillId="8" borderId="0" xfId="1" applyNumberFormat="1" applyFont="1" applyFill="1" applyBorder="1"/>
    <xf numFmtId="3" fontId="0" fillId="0" borderId="0" xfId="0" applyNumberFormat="1" applyFont="1"/>
    <xf numFmtId="0" fontId="0" fillId="0" borderId="0" xfId="0" applyFill="1" applyBorder="1"/>
    <xf numFmtId="0" fontId="9" fillId="0" borderId="0" xfId="0" applyFont="1"/>
    <xf numFmtId="3" fontId="15" fillId="13" borderId="0" xfId="4" applyNumberFormat="1" applyFont="1" applyFill="1" applyAlignment="1"/>
    <xf numFmtId="3" fontId="15" fillId="13" borderId="16" xfId="4" applyNumberFormat="1" applyFont="1" applyFill="1" applyBorder="1" applyAlignment="1"/>
    <xf numFmtId="3" fontId="15" fillId="0" borderId="0" xfId="4" applyNumberFormat="1" applyFont="1" applyAlignment="1">
      <alignment horizontal="right"/>
    </xf>
    <xf numFmtId="3" fontId="14" fillId="0" borderId="0" xfId="4" applyNumberFormat="1" applyFont="1" applyAlignment="1"/>
    <xf numFmtId="4" fontId="9" fillId="0" borderId="0" xfId="0" applyNumberFormat="1" applyFont="1"/>
    <xf numFmtId="3" fontId="17" fillId="0" borderId="0" xfId="5" applyNumberFormat="1" applyFont="1" applyAlignment="1"/>
    <xf numFmtId="0" fontId="0" fillId="0" borderId="0" xfId="0" applyAlignment="1">
      <alignment wrapText="1"/>
    </xf>
  </cellXfs>
  <cellStyles count="6">
    <cellStyle name="Comma" xfId="1" builtinId="3"/>
    <cellStyle name="Hyperlink" xfId="2" builtinId="8"/>
    <cellStyle name="Normal" xfId="0" builtinId="0"/>
    <cellStyle name="Normal 2" xfId="4" xr:uid="{00000000-0005-0000-0000-000003000000}"/>
    <cellStyle name="Normal 3" xfId="5"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299685164939123"/>
          <c:y val="0.31476323119777272"/>
          <c:w val="0.84848624343408663"/>
          <c:h val="0.55988857938718661"/>
        </c:manualLayout>
      </c:layout>
      <c:barChart>
        <c:barDir val="col"/>
        <c:grouping val="stacked"/>
        <c:varyColors val="0"/>
        <c:ser>
          <c:idx val="1"/>
          <c:order val="0"/>
          <c:tx>
            <c:strRef>
              <c:f>'Total Energy  adj sq ft'!$D$2</c:f>
              <c:strCache>
                <c:ptCount val="1"/>
                <c:pt idx="0">
                  <c:v>Total electricity, kWh</c:v>
                </c:pt>
              </c:strCache>
            </c:strRef>
          </c:tx>
          <c:spPr>
            <a:solidFill>
              <a:srgbClr val="993366"/>
            </a:solidFill>
            <a:ln w="12700">
              <a:solidFill>
                <a:srgbClr val="000000"/>
              </a:solidFill>
              <a:prstDash val="solid"/>
            </a:ln>
          </c:spPr>
          <c:invertIfNegative val="0"/>
          <c:cat>
            <c:numRef>
              <c:f>'Total Energy  adj sq ft'!$A$3:$A$19</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'Total Energy  adj sq ft'!$D$3:$D$19</c:f>
              <c:numCache>
                <c:formatCode>#,##0</c:formatCode>
                <c:ptCount val="17"/>
                <c:pt idx="0">
                  <c:v>328461699</c:v>
                </c:pt>
                <c:pt idx="1">
                  <c:v>319542583</c:v>
                </c:pt>
                <c:pt idx="2">
                  <c:v>311455198</c:v>
                </c:pt>
                <c:pt idx="3">
                  <c:v>340799207</c:v>
                </c:pt>
                <c:pt idx="4">
                  <c:v>327346629</c:v>
                </c:pt>
                <c:pt idx="5">
                  <c:v>337824645</c:v>
                </c:pt>
                <c:pt idx="6">
                  <c:v>316020333</c:v>
                </c:pt>
                <c:pt idx="7">
                  <c:v>315049533</c:v>
                </c:pt>
                <c:pt idx="8">
                  <c:v>316724367</c:v>
                </c:pt>
                <c:pt idx="9">
                  <c:v>311160673</c:v>
                </c:pt>
                <c:pt idx="10">
                  <c:v>314585540</c:v>
                </c:pt>
                <c:pt idx="11">
                  <c:v>307258581</c:v>
                </c:pt>
                <c:pt idx="12">
                  <c:v>280517617</c:v>
                </c:pt>
                <c:pt idx="13">
                  <c:v>314126873</c:v>
                </c:pt>
                <c:pt idx="14">
                  <c:v>303873415</c:v>
                </c:pt>
                <c:pt idx="15">
                  <c:v>304725333</c:v>
                </c:pt>
                <c:pt idx="16">
                  <c:v>271960992</c:v>
                </c:pt>
              </c:numCache>
            </c:numRef>
          </c:val>
          <c:extLst>
            <c:ext xmlns:c16="http://schemas.microsoft.com/office/drawing/2014/chart" uri="{C3380CC4-5D6E-409C-BE32-E72D297353CC}">
              <c16:uniqueId val="{00000000-CC18-420E-9609-85EABE2E7F4B}"/>
            </c:ext>
          </c:extLst>
        </c:ser>
        <c:dLbls>
          <c:showLegendKey val="0"/>
          <c:showVal val="0"/>
          <c:showCatName val="0"/>
          <c:showSerName val="0"/>
          <c:showPercent val="0"/>
          <c:showBubbleSize val="0"/>
        </c:dLbls>
        <c:gapWidth val="150"/>
        <c:overlap val="100"/>
        <c:axId val="1730552624"/>
        <c:axId val="1"/>
      </c:barChart>
      <c:catAx>
        <c:axId val="1730552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MarkSkip val="1"/>
        <c:noMultiLvlLbl val="0"/>
      </c:catAx>
      <c:valAx>
        <c:axId val="1"/>
        <c:scaling>
          <c:orientation val="minMax"/>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52624"/>
        <c:crosses val="autoZero"/>
        <c:crossBetween val="between"/>
        <c:dispUnits>
          <c:builtInUnit val="millions"/>
          <c:dispUnitsLbl>
            <c:layout>
              <c:manualLayout>
                <c:xMode val="edge"/>
                <c:yMode val="edge"/>
                <c:x val="6.2009792635569713E-4"/>
                <c:y val="0.49210770659238628"/>
              </c:manualLayout>
            </c:layout>
            <c:tx>
              <c:rich>
                <a:bodyPr rot="-5400000" vert="horz"/>
                <a:lstStyle/>
                <a:p>
                  <a:pPr algn="ctr">
                    <a:defRPr sz="800" b="1" i="0" u="none" strike="noStrike" baseline="0">
                      <a:solidFill>
                        <a:srgbClr val="000000"/>
                      </a:solidFill>
                      <a:latin typeface="Arial"/>
                      <a:ea typeface="Arial"/>
                      <a:cs typeface="Arial"/>
                    </a:defRPr>
                  </a:pPr>
                  <a:r>
                    <a:rPr lang="en-US"/>
                    <a:t>Million 
</a:t>
                  </a:r>
                </a:p>
              </c:rich>
            </c:tx>
            <c:spPr>
              <a:noFill/>
              <a:ln w="25400">
                <a:noFill/>
              </a:ln>
            </c:spPr>
          </c:dispUnitsLbl>
        </c:dispUnits>
      </c:valAx>
      <c:spPr>
        <a:solidFill>
          <a:srgbClr val="C0C0C0"/>
        </a:solidFill>
        <a:ln w="12700">
          <a:solidFill>
            <a:srgbClr val="808080"/>
          </a:solidFill>
          <a:prstDash val="solid"/>
        </a:ln>
      </c:spPr>
    </c:plotArea>
    <c:legend>
      <c:legendPos val="r"/>
      <c:layout>
        <c:manualLayout>
          <c:xMode val="edge"/>
          <c:yMode val="edge"/>
          <c:x val="0.68814043603435482"/>
          <c:y val="0.52183636548059753"/>
          <c:w val="0.29538882026414753"/>
          <c:h val="6.0002090804389271E-2"/>
        </c:manualLayout>
      </c:layout>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spPr>
        <a:noFill/>
        <a:ln w="25400">
          <a:noFill/>
        </a:ln>
      </c:spPr>
      <c:txPr>
        <a:bodyPr/>
        <a:lstStyle/>
        <a:p>
          <a:pPr>
            <a:defRPr sz="10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299685164939129"/>
          <c:y val="0.31476323119777283"/>
          <c:w val="0.84848624343408663"/>
          <c:h val="0.55988857938718661"/>
        </c:manualLayout>
      </c:layout>
      <c:barChart>
        <c:barDir val="col"/>
        <c:grouping val="stacked"/>
        <c:varyColors val="0"/>
        <c:ser>
          <c:idx val="1"/>
          <c:order val="0"/>
          <c:tx>
            <c:strRef>
              <c:f>'Total Energy  (NE IL HDD CDD)'!$S$2</c:f>
              <c:strCache>
                <c:ptCount val="1"/>
                <c:pt idx="0">
                  <c:v>Total Btu per square foot</c:v>
                </c:pt>
              </c:strCache>
            </c:strRef>
          </c:tx>
          <c:spPr>
            <a:solidFill>
              <a:srgbClr val="92D050"/>
            </a:solidFill>
            <a:ln w="12700">
              <a:solidFill>
                <a:srgbClr val="000000"/>
              </a:solidFill>
              <a:prstDash val="solid"/>
            </a:ln>
          </c:spPr>
          <c:invertIfNegative val="0"/>
          <c:cat>
            <c:numRef>
              <c:f>'Total Energy  (NE IL HDD CDD)'!$A$3:$A$11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'Total Energy  (NE IL HDD CDD)'!$S$3:$S$11</c:f>
              <c:numCache>
                <c:formatCode>#,##0</c:formatCode>
                <c:ptCount val="9"/>
                <c:pt idx="0">
                  <c:v>314096.11339379172</c:v>
                </c:pt>
                <c:pt idx="1">
                  <c:v>293043.41759287991</c:v>
                </c:pt>
                <c:pt idx="2">
                  <c:v>255995.08741934018</c:v>
                </c:pt>
                <c:pt idx="3">
                  <c:v>266416.28633589059</c:v>
                </c:pt>
                <c:pt idx="4">
                  <c:v>259216.0745375909</c:v>
                </c:pt>
                <c:pt idx="5">
                  <c:v>260733.00700705117</c:v>
                </c:pt>
                <c:pt idx="6">
                  <c:v>235402.0776751388</c:v>
                </c:pt>
                <c:pt idx="7">
                  <c:v>241458.56681320484</c:v>
                </c:pt>
                <c:pt idx="8">
                  <c:v>225510.56477919396</c:v>
                </c:pt>
              </c:numCache>
            </c:numRef>
          </c:val>
          <c:extLst>
            <c:ext xmlns:c16="http://schemas.microsoft.com/office/drawing/2014/chart" uri="{C3380CC4-5D6E-409C-BE32-E72D297353CC}">
              <c16:uniqueId val="{00000000-7BF2-48D6-BE62-C52A6581EBBA}"/>
            </c:ext>
          </c:extLst>
        </c:ser>
        <c:dLbls>
          <c:showLegendKey val="0"/>
          <c:showVal val="0"/>
          <c:showCatName val="0"/>
          <c:showSerName val="0"/>
          <c:showPercent val="0"/>
          <c:showBubbleSize val="0"/>
        </c:dLbls>
        <c:gapWidth val="150"/>
        <c:overlap val="100"/>
        <c:axId val="1730533904"/>
        <c:axId val="1"/>
      </c:barChart>
      <c:catAx>
        <c:axId val="1730533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33904"/>
        <c:crosses val="autoZero"/>
        <c:crossBetween val="between"/>
        <c:dispUnits>
          <c:builtInUnit val="thousands"/>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UIC Energy Consumption </a:t>
            </a:r>
          </a:p>
        </c:rich>
      </c:tx>
      <c:layout>
        <c:manualLayout>
          <c:xMode val="edge"/>
          <c:yMode val="edge"/>
          <c:x val="0.15966173228346459"/>
          <c:y val="1.3422803281665265E-2"/>
        </c:manualLayout>
      </c:layout>
      <c:overlay val="0"/>
    </c:title>
    <c:autoTitleDeleted val="0"/>
    <c:plotArea>
      <c:layout>
        <c:manualLayout>
          <c:layoutTarget val="inner"/>
          <c:xMode val="edge"/>
          <c:yMode val="edge"/>
          <c:x val="0.13434513771781961"/>
          <c:y val="0.11856823266219239"/>
          <c:w val="0.43676222596964925"/>
          <c:h val="0.76174621458521818"/>
        </c:manualLayout>
      </c:layout>
      <c:barChart>
        <c:barDir val="col"/>
        <c:grouping val="clustered"/>
        <c:varyColors val="0"/>
        <c:ser>
          <c:idx val="1"/>
          <c:order val="2"/>
          <c:tx>
            <c:strRef>
              <c:f>'Total Energy  (NE IL HDD CDD)'!$O$2</c:f>
              <c:strCache>
                <c:ptCount val="1"/>
                <c:pt idx="0">
                  <c:v>Total campus energy use, MMBtu</c:v>
                </c:pt>
              </c:strCache>
            </c:strRef>
          </c:tx>
          <c:spPr>
            <a:solidFill>
              <a:srgbClr val="FFFF00"/>
            </a:solidFill>
            <a:ln>
              <a:gradFill>
                <a:gsLst>
                  <a:gs pos="0">
                    <a:srgbClr val="4F81BD">
                      <a:tint val="66000"/>
                      <a:satMod val="160000"/>
                      <a:alpha val="79000"/>
                    </a:srgbClr>
                  </a:gs>
                  <a:gs pos="50000">
                    <a:srgbClr val="4F81BD">
                      <a:tint val="44500"/>
                      <a:satMod val="160000"/>
                    </a:srgbClr>
                  </a:gs>
                  <a:gs pos="100000">
                    <a:srgbClr val="4F81BD">
                      <a:tint val="23500"/>
                      <a:satMod val="160000"/>
                    </a:srgbClr>
                  </a:gs>
                </a:gsLst>
                <a:lin ang="5400000" scaled="0"/>
              </a:gradFill>
            </a:ln>
          </c:spPr>
          <c:invertIfNegative val="0"/>
          <c:trendline>
            <c:spPr>
              <a:ln w="22225"/>
            </c:spPr>
            <c:trendlineType val="linear"/>
            <c:dispRSqr val="0"/>
            <c:dispEq val="0"/>
          </c:trendline>
          <c:cat>
            <c:numRef>
              <c:f>'Total Energy  (NE IL HDD CDD)'!$A$3:$A$11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'Total Energy  (NE IL HDD CDD)'!$Q$3:$Q$11</c:f>
              <c:numCache>
                <c:formatCode>#,##0</c:formatCode>
                <c:ptCount val="9"/>
                <c:pt idx="0">
                  <c:v>4042937.2267040005</c:v>
                </c:pt>
                <c:pt idx="1">
                  <c:v>3764219.5927879997</c:v>
                </c:pt>
                <c:pt idx="2">
                  <c:v>3563019.2624240001</c:v>
                </c:pt>
                <c:pt idx="3">
                  <c:v>3693682.8435160001</c:v>
                </c:pt>
                <c:pt idx="4">
                  <c:v>3742065.5290760002</c:v>
                </c:pt>
                <c:pt idx="5">
                  <c:v>3624910.9873240003</c:v>
                </c:pt>
                <c:pt idx="6">
                  <c:v>3416156.4650520002</c:v>
                </c:pt>
                <c:pt idx="7">
                  <c:v>3551345.0744119999</c:v>
                </c:pt>
                <c:pt idx="8">
                  <c:v>3316783.678568</c:v>
                </c:pt>
              </c:numCache>
            </c:numRef>
          </c:val>
          <c:extLst>
            <c:ext xmlns:c16="http://schemas.microsoft.com/office/drawing/2014/chart" uri="{C3380CC4-5D6E-409C-BE32-E72D297353CC}">
              <c16:uniqueId val="{00000001-16CD-4480-935B-E3470C19E718}"/>
            </c:ext>
          </c:extLst>
        </c:ser>
        <c:dLbls>
          <c:showLegendKey val="0"/>
          <c:showVal val="0"/>
          <c:showCatName val="0"/>
          <c:showSerName val="0"/>
          <c:showPercent val="0"/>
          <c:showBubbleSize val="0"/>
        </c:dLbls>
        <c:gapWidth val="150"/>
        <c:axId val="1730548464"/>
        <c:axId val="1"/>
      </c:barChart>
      <c:lineChart>
        <c:grouping val="standard"/>
        <c:varyColors val="0"/>
        <c:ser>
          <c:idx val="0"/>
          <c:order val="0"/>
          <c:tx>
            <c:strRef>
              <c:f>'Total Energy  (NE IL HDD CDD)'!$V$2</c:f>
              <c:strCache>
                <c:ptCount val="1"/>
                <c:pt idx="0">
                  <c:v>Cooling degree days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'Total Energy  (NE IL HDD CDD)'!$A$3:$A$11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'Total Energy  (NE IL HDD CDD)'!$V$3:$V$11</c:f>
              <c:numCache>
                <c:formatCode>General</c:formatCode>
                <c:ptCount val="9"/>
                <c:pt idx="0">
                  <c:v>782</c:v>
                </c:pt>
                <c:pt idx="1">
                  <c:v>762</c:v>
                </c:pt>
                <c:pt idx="2">
                  <c:v>941</c:v>
                </c:pt>
                <c:pt idx="3">
                  <c:v>907</c:v>
                </c:pt>
                <c:pt idx="4">
                  <c:v>883</c:v>
                </c:pt>
                <c:pt idx="5">
                  <c:v>690</c:v>
                </c:pt>
                <c:pt idx="6">
                  <c:v>623</c:v>
                </c:pt>
                <c:pt idx="7">
                  <c:v>939</c:v>
                </c:pt>
                <c:pt idx="8">
                  <c:v>1025</c:v>
                </c:pt>
              </c:numCache>
            </c:numRef>
          </c:val>
          <c:smooth val="0"/>
          <c:extLst>
            <c:ext xmlns:c16="http://schemas.microsoft.com/office/drawing/2014/chart" uri="{C3380CC4-5D6E-409C-BE32-E72D297353CC}">
              <c16:uniqueId val="{00000002-16CD-4480-935B-E3470C19E718}"/>
            </c:ext>
          </c:extLst>
        </c:ser>
        <c:ser>
          <c:idx val="2"/>
          <c:order val="1"/>
          <c:tx>
            <c:strRef>
              <c:f>'Total Energy  (NE IL HDD CDD)'!$W$2</c:f>
              <c:strCache>
                <c:ptCount val="1"/>
                <c:pt idx="0">
                  <c:v>Heating degree days</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numRef>
              <c:f>'Total Energy  (NE IL HDD CDD)'!$A$3:$A$11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'Total Energy  (NE IL HDD CDD)'!$W$3:$W$11</c:f>
              <c:numCache>
                <c:formatCode>General</c:formatCode>
                <c:ptCount val="9"/>
                <c:pt idx="0">
                  <c:v>6114</c:v>
                </c:pt>
                <c:pt idx="1">
                  <c:v>5987</c:v>
                </c:pt>
                <c:pt idx="2">
                  <c:v>5695</c:v>
                </c:pt>
                <c:pt idx="3">
                  <c:v>6182</c:v>
                </c:pt>
                <c:pt idx="4">
                  <c:v>6562</c:v>
                </c:pt>
                <c:pt idx="5">
                  <c:v>6908</c:v>
                </c:pt>
                <c:pt idx="6">
                  <c:v>6300</c:v>
                </c:pt>
                <c:pt idx="7">
                  <c:v>6680</c:v>
                </c:pt>
                <c:pt idx="8">
                  <c:v>5170</c:v>
                </c:pt>
              </c:numCache>
            </c:numRef>
          </c:val>
          <c:smooth val="0"/>
          <c:extLst>
            <c:ext xmlns:c16="http://schemas.microsoft.com/office/drawing/2014/chart" uri="{C3380CC4-5D6E-409C-BE32-E72D297353CC}">
              <c16:uniqueId val="{00000003-16CD-4480-935B-E3470C19E718}"/>
            </c:ext>
          </c:extLst>
        </c:ser>
        <c:dLbls>
          <c:showLegendKey val="0"/>
          <c:showVal val="0"/>
          <c:showCatName val="0"/>
          <c:showSerName val="0"/>
          <c:showPercent val="0"/>
          <c:showBubbleSize val="0"/>
        </c:dLbls>
        <c:marker val="1"/>
        <c:smooth val="0"/>
        <c:axId val="3"/>
        <c:axId val="4"/>
      </c:lineChart>
      <c:catAx>
        <c:axId val="1730548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Fiscal Year</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5000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48464"/>
        <c:crosses val="autoZero"/>
        <c:crossBetween val="between"/>
        <c:dispUnits>
          <c:builtInUnit val="thousands"/>
          <c:dispUnitsLbl>
            <c:layout>
              <c:manualLayout>
                <c:xMode val="edge"/>
                <c:yMode val="edge"/>
                <c:x val="4.1904479513282585E-2"/>
                <c:y val="0.2516781698583973"/>
              </c:manualLayout>
            </c:layout>
            <c:tx>
              <c:rich>
                <a:bodyPr rot="-5400000" vert="horz"/>
                <a:lstStyle/>
                <a:p>
                  <a:pPr algn="ctr">
                    <a:defRPr sz="950" b="0" i="0" u="none" strike="noStrike" baseline="0">
                      <a:solidFill>
                        <a:srgbClr val="000000"/>
                      </a:solidFill>
                      <a:latin typeface="Arial"/>
                      <a:ea typeface="Arial"/>
                      <a:cs typeface="Arial"/>
                    </a:defRPr>
                  </a:pPr>
                  <a:r>
                    <a:rPr lang="en-US"/>
                    <a:t>Thousand MMBtus</a:t>
                  </a:r>
                </a:p>
              </c:rich>
            </c:tx>
            <c:spPr>
              <a:noFill/>
              <a:ln w="25400">
                <a:noFill/>
              </a:ln>
            </c:spPr>
          </c:dispUnitsLbl>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7000"/>
        </c:scaling>
        <c:delete val="0"/>
        <c:axPos val="r"/>
        <c:title>
          <c:tx>
            <c:rich>
              <a:bodyPr/>
              <a:lstStyle/>
              <a:p>
                <a:pPr>
                  <a:defRPr sz="1000" b="0" i="0" u="none" strike="noStrike" baseline="0">
                    <a:solidFill>
                      <a:srgbClr val="000000"/>
                    </a:solidFill>
                    <a:latin typeface="Arial"/>
                    <a:ea typeface="Arial"/>
                    <a:cs typeface="Arial"/>
                  </a:defRPr>
                </a:pPr>
                <a:r>
                  <a:rPr lang="en-US"/>
                  <a:t>Degree days, F</a:t>
                </a:r>
              </a:p>
            </c:rich>
          </c:tx>
          <c:layout>
            <c:manualLayout>
              <c:xMode val="edge"/>
              <c:yMode val="edge"/>
              <c:x val="0.62667590551181096"/>
              <c:y val="0.27939649053302301"/>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spPr>
        <a:noFill/>
        <a:ln w="25400">
          <a:noFill/>
        </a:ln>
      </c:spPr>
    </c:plotArea>
    <c:legend>
      <c:legendPos val="r"/>
      <c:layout>
        <c:manualLayout>
          <c:xMode val="edge"/>
          <c:yMode val="edge"/>
          <c:x val="0.39259036590948837"/>
          <c:y val="2.2223000430590362E-2"/>
          <c:w val="0.60093019524785696"/>
          <c:h val="0.73537928697589927"/>
        </c:manualLayout>
      </c:layout>
      <c:overlay val="0"/>
      <c:spPr>
        <a:solidFill>
          <a:srgbClr val="FFFFFF"/>
        </a:solidFill>
        <a:ln w="3175">
          <a:noFill/>
          <a:prstDash val="solid"/>
        </a:ln>
      </c:spPr>
      <c:txPr>
        <a:bodyPr/>
        <a:lstStyle/>
        <a:p>
          <a:pPr>
            <a:defRPr sz="5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0">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UIC Energy Consumption </a:t>
            </a:r>
          </a:p>
        </c:rich>
      </c:tx>
      <c:overlay val="0"/>
    </c:title>
    <c:autoTitleDeleted val="0"/>
    <c:plotArea>
      <c:layout>
        <c:manualLayout>
          <c:layoutTarget val="inner"/>
          <c:xMode val="edge"/>
          <c:yMode val="edge"/>
          <c:x val="0.13906810924453081"/>
          <c:y val="0.11856829194427619"/>
          <c:w val="0.75792087308355982"/>
          <c:h val="0.76174621458521863"/>
        </c:manualLayout>
      </c:layout>
      <c:barChart>
        <c:barDir val="col"/>
        <c:grouping val="clustered"/>
        <c:varyColors val="0"/>
        <c:ser>
          <c:idx val="1"/>
          <c:order val="2"/>
          <c:tx>
            <c:strRef>
              <c:f>'Total Energy  (NE IL HDD CDD)'!$O$2</c:f>
              <c:strCache>
                <c:ptCount val="1"/>
                <c:pt idx="0">
                  <c:v>Total campus energy use, MMBtu</c:v>
                </c:pt>
              </c:strCache>
            </c:strRef>
          </c:tx>
          <c:spPr>
            <a:solidFill>
              <a:srgbClr val="FFFF00"/>
            </a:solidFill>
            <a:ln>
              <a:gradFill>
                <a:gsLst>
                  <a:gs pos="0">
                    <a:srgbClr val="4F81BD">
                      <a:tint val="66000"/>
                      <a:satMod val="160000"/>
                      <a:alpha val="79000"/>
                    </a:srgbClr>
                  </a:gs>
                  <a:gs pos="50000">
                    <a:srgbClr val="4F81BD">
                      <a:tint val="44500"/>
                      <a:satMod val="160000"/>
                    </a:srgbClr>
                  </a:gs>
                  <a:gs pos="100000">
                    <a:srgbClr val="4F81BD">
                      <a:tint val="23500"/>
                      <a:satMod val="160000"/>
                    </a:srgbClr>
                  </a:gs>
                </a:gsLst>
                <a:lin ang="5400000" scaled="0"/>
              </a:gradFill>
            </a:ln>
          </c:spPr>
          <c:invertIfNegative val="0"/>
          <c:trendline>
            <c:spPr>
              <a:ln w="22225"/>
            </c:spPr>
            <c:trendlineType val="linear"/>
            <c:dispRSqr val="0"/>
            <c:dispEq val="0"/>
          </c:trendline>
          <c:cat>
            <c:numRef>
              <c:f>'Total Energy  (NE IL HDD CDD)'!$A$3:$A$11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'Total Energy  (NE IL HDD CDD)'!$Q$3:$Q$11</c:f>
              <c:numCache>
                <c:formatCode>#,##0</c:formatCode>
                <c:ptCount val="9"/>
                <c:pt idx="0">
                  <c:v>4042937.2267040005</c:v>
                </c:pt>
                <c:pt idx="1">
                  <c:v>3764219.5927879997</c:v>
                </c:pt>
                <c:pt idx="2">
                  <c:v>3563019.2624240001</c:v>
                </c:pt>
                <c:pt idx="3">
                  <c:v>3693682.8435160001</c:v>
                </c:pt>
                <c:pt idx="4">
                  <c:v>3742065.5290760002</c:v>
                </c:pt>
                <c:pt idx="5">
                  <c:v>3624910.9873240003</c:v>
                </c:pt>
                <c:pt idx="6">
                  <c:v>3416156.4650520002</c:v>
                </c:pt>
                <c:pt idx="7">
                  <c:v>3551345.0744119999</c:v>
                </c:pt>
                <c:pt idx="8">
                  <c:v>3316783.678568</c:v>
                </c:pt>
              </c:numCache>
            </c:numRef>
          </c:val>
          <c:extLst>
            <c:ext xmlns:c16="http://schemas.microsoft.com/office/drawing/2014/chart" uri="{C3380CC4-5D6E-409C-BE32-E72D297353CC}">
              <c16:uniqueId val="{00000001-AC82-454A-B673-AE430C507AFB}"/>
            </c:ext>
          </c:extLst>
        </c:ser>
        <c:dLbls>
          <c:showLegendKey val="0"/>
          <c:showVal val="0"/>
          <c:showCatName val="0"/>
          <c:showSerName val="0"/>
          <c:showPercent val="0"/>
          <c:showBubbleSize val="0"/>
        </c:dLbls>
        <c:gapWidth val="150"/>
        <c:axId val="1730531824"/>
        <c:axId val="1"/>
      </c:barChart>
      <c:lineChart>
        <c:grouping val="standard"/>
        <c:varyColors val="0"/>
        <c:ser>
          <c:idx val="0"/>
          <c:order val="0"/>
          <c:tx>
            <c:strRef>
              <c:f>'Total Energy  (NE IL HDD CDD)'!$V$2</c:f>
              <c:strCache>
                <c:ptCount val="1"/>
                <c:pt idx="0">
                  <c:v>Cooling degree days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'Total Energy  (NE IL HDD CDD)'!$A$3:$A$11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'Total Energy  (NE IL HDD CDD)'!$V$3:$V$11</c:f>
              <c:numCache>
                <c:formatCode>General</c:formatCode>
                <c:ptCount val="9"/>
                <c:pt idx="0">
                  <c:v>782</c:v>
                </c:pt>
                <c:pt idx="1">
                  <c:v>762</c:v>
                </c:pt>
                <c:pt idx="2">
                  <c:v>941</c:v>
                </c:pt>
                <c:pt idx="3">
                  <c:v>907</c:v>
                </c:pt>
                <c:pt idx="4">
                  <c:v>883</c:v>
                </c:pt>
                <c:pt idx="5">
                  <c:v>690</c:v>
                </c:pt>
                <c:pt idx="6">
                  <c:v>623</c:v>
                </c:pt>
                <c:pt idx="7">
                  <c:v>939</c:v>
                </c:pt>
                <c:pt idx="8">
                  <c:v>1025</c:v>
                </c:pt>
              </c:numCache>
            </c:numRef>
          </c:val>
          <c:smooth val="0"/>
          <c:extLst>
            <c:ext xmlns:c16="http://schemas.microsoft.com/office/drawing/2014/chart" uri="{C3380CC4-5D6E-409C-BE32-E72D297353CC}">
              <c16:uniqueId val="{00000002-AC82-454A-B673-AE430C507AFB}"/>
            </c:ext>
          </c:extLst>
        </c:ser>
        <c:ser>
          <c:idx val="2"/>
          <c:order val="1"/>
          <c:tx>
            <c:strRef>
              <c:f>'Total Energy  (NE IL HDD CDD)'!$W$2</c:f>
              <c:strCache>
                <c:ptCount val="1"/>
                <c:pt idx="0">
                  <c:v>Heating degree days</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numRef>
              <c:f>'Total Energy  (NE IL HDD CDD)'!$A$3:$A$11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'Total Energy  (NE IL HDD CDD)'!$W$3:$W$11</c:f>
              <c:numCache>
                <c:formatCode>General</c:formatCode>
                <c:ptCount val="9"/>
                <c:pt idx="0">
                  <c:v>6114</c:v>
                </c:pt>
                <c:pt idx="1">
                  <c:v>5987</c:v>
                </c:pt>
                <c:pt idx="2">
                  <c:v>5695</c:v>
                </c:pt>
                <c:pt idx="3">
                  <c:v>6182</c:v>
                </c:pt>
                <c:pt idx="4">
                  <c:v>6562</c:v>
                </c:pt>
                <c:pt idx="5">
                  <c:v>6908</c:v>
                </c:pt>
                <c:pt idx="6">
                  <c:v>6300</c:v>
                </c:pt>
                <c:pt idx="7">
                  <c:v>6680</c:v>
                </c:pt>
                <c:pt idx="8">
                  <c:v>5170</c:v>
                </c:pt>
              </c:numCache>
            </c:numRef>
          </c:val>
          <c:smooth val="0"/>
          <c:extLst>
            <c:ext xmlns:c16="http://schemas.microsoft.com/office/drawing/2014/chart" uri="{C3380CC4-5D6E-409C-BE32-E72D297353CC}">
              <c16:uniqueId val="{00000003-AC82-454A-B673-AE430C507AFB}"/>
            </c:ext>
          </c:extLst>
        </c:ser>
        <c:dLbls>
          <c:showLegendKey val="0"/>
          <c:showVal val="0"/>
          <c:showCatName val="0"/>
          <c:showSerName val="0"/>
          <c:showPercent val="0"/>
          <c:showBubbleSize val="0"/>
        </c:dLbls>
        <c:marker val="1"/>
        <c:smooth val="0"/>
        <c:axId val="3"/>
        <c:axId val="4"/>
      </c:lineChart>
      <c:catAx>
        <c:axId val="173053182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Fiscal Year</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500000"/>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Thousand MMBtus</a:t>
                </a:r>
              </a:p>
            </c:rich>
          </c:tx>
          <c:layout>
            <c:manualLayout>
              <c:xMode val="edge"/>
              <c:yMode val="edge"/>
              <c:x val="3.7012225803380795E-2"/>
              <c:y val="0.28814312004102932"/>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31824"/>
        <c:crosses val="autoZero"/>
        <c:crossBetween val="between"/>
        <c:dispUnits>
          <c:builtInUnit val="thousan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7000"/>
        </c:scaling>
        <c:delete val="0"/>
        <c:axPos val="r"/>
        <c:title>
          <c:tx>
            <c:rich>
              <a:bodyPr/>
              <a:lstStyle/>
              <a:p>
                <a:pPr>
                  <a:defRPr sz="1200" b="0" i="0" u="none" strike="noStrike" baseline="0">
                    <a:solidFill>
                      <a:srgbClr val="000000"/>
                    </a:solidFill>
                    <a:latin typeface="Arial"/>
                    <a:ea typeface="Arial"/>
                    <a:cs typeface="Arial"/>
                  </a:defRPr>
                </a:pPr>
                <a:r>
                  <a:rPr lang="en-US"/>
                  <a:t>Degree days, F</a:t>
                </a:r>
              </a:p>
            </c:rich>
          </c:tx>
          <c:layout>
            <c:manualLayout>
              <c:xMode val="edge"/>
              <c:yMode val="edge"/>
              <c:x val="0.96042905906191778"/>
              <c:y val="0.35494584728633061"/>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spPr>
        <a:noFill/>
        <a:ln w="25400">
          <a:noFill/>
        </a:ln>
      </c:spPr>
    </c:plotArea>
    <c:plotVisOnly val="1"/>
    <c:dispBlanksAs val="gap"/>
    <c:showDLblsOverMax val="0"/>
  </c:chart>
  <c:spPr>
    <a:solidFill>
      <a:srgbClr val="FFFFFF"/>
    </a:solidFill>
    <a:ln w="0">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299685164939123"/>
          <c:y val="0.31476323119777272"/>
          <c:w val="0.84848624343408663"/>
          <c:h val="0.55988857938718661"/>
        </c:manualLayout>
      </c:layout>
      <c:barChart>
        <c:barDir val="col"/>
        <c:grouping val="stacked"/>
        <c:varyColors val="0"/>
        <c:ser>
          <c:idx val="1"/>
          <c:order val="0"/>
          <c:tx>
            <c:strRef>
              <c:f>'Total Energy  (City Level)'!$D$2</c:f>
              <c:strCache>
                <c:ptCount val="1"/>
                <c:pt idx="0">
                  <c:v>Total electricity, kWh</c:v>
                </c:pt>
              </c:strCache>
            </c:strRef>
          </c:tx>
          <c:spPr>
            <a:solidFill>
              <a:srgbClr val="993366"/>
            </a:solidFill>
            <a:ln w="12700">
              <a:solidFill>
                <a:srgbClr val="000000"/>
              </a:solidFill>
              <a:prstDash val="solid"/>
            </a:ln>
          </c:spPr>
          <c:invertIfNegative val="0"/>
          <c:cat>
            <c:numRef>
              <c:f>'Total Energy  (City Level)'!$A$3:$A$13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'Total Energy  (City Level)'!$D$3:$D$13</c:f>
              <c:numCache>
                <c:formatCode>#,##0</c:formatCode>
                <c:ptCount val="11"/>
                <c:pt idx="0">
                  <c:v>328461699</c:v>
                </c:pt>
                <c:pt idx="1">
                  <c:v>319542583</c:v>
                </c:pt>
                <c:pt idx="2">
                  <c:v>311455198</c:v>
                </c:pt>
                <c:pt idx="3">
                  <c:v>340799207</c:v>
                </c:pt>
                <c:pt idx="4">
                  <c:v>327346629</c:v>
                </c:pt>
                <c:pt idx="5">
                  <c:v>337824645</c:v>
                </c:pt>
                <c:pt idx="6">
                  <c:v>316020333</c:v>
                </c:pt>
                <c:pt idx="7">
                  <c:v>315049533</c:v>
                </c:pt>
                <c:pt idx="8">
                  <c:v>316724367</c:v>
                </c:pt>
                <c:pt idx="9">
                  <c:v>311160673</c:v>
                </c:pt>
                <c:pt idx="10">
                  <c:v>314585540</c:v>
                </c:pt>
              </c:numCache>
            </c:numRef>
          </c:val>
          <c:extLst>
            <c:ext xmlns:c16="http://schemas.microsoft.com/office/drawing/2014/chart" uri="{C3380CC4-5D6E-409C-BE32-E72D297353CC}">
              <c16:uniqueId val="{00000000-36C6-4A81-BA48-B5D605647B9D}"/>
            </c:ext>
          </c:extLst>
        </c:ser>
        <c:dLbls>
          <c:showLegendKey val="0"/>
          <c:showVal val="0"/>
          <c:showCatName val="0"/>
          <c:showSerName val="0"/>
          <c:showPercent val="0"/>
          <c:showBubbleSize val="0"/>
        </c:dLbls>
        <c:gapWidth val="150"/>
        <c:overlap val="100"/>
        <c:axId val="1730541392"/>
        <c:axId val="1"/>
      </c:barChart>
      <c:catAx>
        <c:axId val="173054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MarkSkip val="1"/>
        <c:noMultiLvlLbl val="0"/>
      </c:catAx>
      <c:valAx>
        <c:axId val="1"/>
        <c:scaling>
          <c:orientation val="minMax"/>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41392"/>
        <c:crosses val="autoZero"/>
        <c:crossBetween val="between"/>
        <c:dispUnits>
          <c:builtInUnit val="millions"/>
          <c:dispUnitsLbl>
            <c:layout>
              <c:manualLayout>
                <c:xMode val="edge"/>
                <c:yMode val="edge"/>
                <c:x val="6.2009792635569713E-4"/>
                <c:y val="0.49210770659238628"/>
              </c:manualLayout>
            </c:layout>
            <c:tx>
              <c:rich>
                <a:bodyPr rot="-5400000" vert="horz"/>
                <a:lstStyle/>
                <a:p>
                  <a:pPr algn="ctr">
                    <a:defRPr sz="800" b="1" i="0" u="none" strike="noStrike" baseline="0">
                      <a:solidFill>
                        <a:srgbClr val="000000"/>
                      </a:solidFill>
                      <a:latin typeface="Arial"/>
                      <a:ea typeface="Arial"/>
                      <a:cs typeface="Arial"/>
                    </a:defRPr>
                  </a:pPr>
                  <a:r>
                    <a:rPr lang="en-US"/>
                    <a:t>Million 
</a:t>
                  </a:r>
                </a:p>
              </c:rich>
            </c:tx>
            <c:spPr>
              <a:noFill/>
              <a:ln w="25400">
                <a:noFill/>
              </a:ln>
            </c:spPr>
          </c:dispUnitsLbl>
        </c:dispUnits>
      </c:valAx>
      <c:spPr>
        <a:solidFill>
          <a:srgbClr val="C0C0C0"/>
        </a:solidFill>
        <a:ln w="12700">
          <a:solidFill>
            <a:srgbClr val="808080"/>
          </a:solidFill>
          <a:prstDash val="solid"/>
        </a:ln>
      </c:spPr>
    </c:plotArea>
    <c:legend>
      <c:legendPos val="r"/>
      <c:layout>
        <c:manualLayout>
          <c:xMode val="edge"/>
          <c:yMode val="edge"/>
          <c:x val="0.62126173566693554"/>
          <c:y val="0.53138206870207694"/>
          <c:w val="0.35872855059477893"/>
          <c:h val="6.0887528705446309E-2"/>
        </c:manualLayout>
      </c:layout>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spPr>
        <a:noFill/>
        <a:ln w="25400">
          <a:noFill/>
        </a:ln>
      </c:spPr>
      <c:txPr>
        <a:bodyPr/>
        <a:lstStyle/>
        <a:p>
          <a:pPr>
            <a:defRPr sz="10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299685164939129"/>
          <c:y val="0.31476323119777283"/>
          <c:w val="0.84848624343408663"/>
          <c:h val="0.55988857938718661"/>
        </c:manualLayout>
      </c:layout>
      <c:barChart>
        <c:barDir val="col"/>
        <c:grouping val="stacked"/>
        <c:varyColors val="0"/>
        <c:ser>
          <c:idx val="1"/>
          <c:order val="0"/>
          <c:tx>
            <c:strRef>
              <c:f>'Total Energy  (City Level)'!$S$2</c:f>
              <c:strCache>
                <c:ptCount val="1"/>
                <c:pt idx="0">
                  <c:v>Total kBtu per square foot</c:v>
                </c:pt>
              </c:strCache>
            </c:strRef>
          </c:tx>
          <c:spPr>
            <a:solidFill>
              <a:srgbClr val="92D050"/>
            </a:solidFill>
            <a:ln w="12700">
              <a:solidFill>
                <a:srgbClr val="000000"/>
              </a:solidFill>
              <a:prstDash val="solid"/>
            </a:ln>
          </c:spPr>
          <c:invertIfNegative val="0"/>
          <c:cat>
            <c:numRef>
              <c:f>'Total Energy  (City Level)'!$A$3:$A$13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'Total Energy  (City Level)'!$S$3:$S$12</c:f>
              <c:numCache>
                <c:formatCode>#,##0.00</c:formatCode>
                <c:ptCount val="10"/>
                <c:pt idx="0">
                  <c:v>307.21372480988816</c:v>
                </c:pt>
                <c:pt idx="1">
                  <c:v>286.61416284673794</c:v>
                </c:pt>
                <c:pt idx="2">
                  <c:v>261.55420367188407</c:v>
                </c:pt>
                <c:pt idx="3">
                  <c:v>264.14355565007889</c:v>
                </c:pt>
                <c:pt idx="4">
                  <c:v>254.70049489277278</c:v>
                </c:pt>
                <c:pt idx="5">
                  <c:v>247.34817395069771</c:v>
                </c:pt>
                <c:pt idx="6">
                  <c:v>233.4606526465042</c:v>
                </c:pt>
                <c:pt idx="7">
                  <c:v>242.70837498215676</c:v>
                </c:pt>
                <c:pt idx="8">
                  <c:v>226.6621608230528</c:v>
                </c:pt>
                <c:pt idx="9">
                  <c:v>233.32146328849552</c:v>
                </c:pt>
              </c:numCache>
            </c:numRef>
          </c:val>
          <c:extLst>
            <c:ext xmlns:c16="http://schemas.microsoft.com/office/drawing/2014/chart" uri="{C3380CC4-5D6E-409C-BE32-E72D297353CC}">
              <c16:uniqueId val="{00000000-488A-4FD9-9F71-B312FE07B986}"/>
            </c:ext>
          </c:extLst>
        </c:ser>
        <c:dLbls>
          <c:showLegendKey val="0"/>
          <c:showVal val="0"/>
          <c:showCatName val="0"/>
          <c:showSerName val="0"/>
          <c:showPercent val="0"/>
          <c:showBubbleSize val="0"/>
        </c:dLbls>
        <c:gapWidth val="150"/>
        <c:overlap val="100"/>
        <c:axId val="1730536400"/>
        <c:axId val="1"/>
      </c:barChart>
      <c:catAx>
        <c:axId val="1730536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MarkSkip val="1"/>
        <c:noMultiLvlLbl val="0"/>
      </c:catAx>
      <c:valAx>
        <c:axId val="1"/>
        <c:scaling>
          <c:orientation val="minMax"/>
          <c:min val="0"/>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36400"/>
        <c:crosses val="autoZero"/>
        <c:crossBetween val="between"/>
        <c:dispUnits>
          <c:builtInUnit val="thousands"/>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UIC Energy Consumption </a:t>
            </a:r>
          </a:p>
        </c:rich>
      </c:tx>
      <c:layout>
        <c:manualLayout>
          <c:xMode val="edge"/>
          <c:yMode val="edge"/>
          <c:x val="0.15966174416877135"/>
          <c:y val="1.3422823186602713E-2"/>
        </c:manualLayout>
      </c:layout>
      <c:overlay val="0"/>
    </c:title>
    <c:autoTitleDeleted val="0"/>
    <c:plotArea>
      <c:layout>
        <c:manualLayout>
          <c:layoutTarget val="inner"/>
          <c:xMode val="edge"/>
          <c:yMode val="edge"/>
          <c:x val="0.13434513771781961"/>
          <c:y val="0.11856823266219239"/>
          <c:w val="0.43676222596964925"/>
          <c:h val="0.76174621458521818"/>
        </c:manualLayout>
      </c:layout>
      <c:barChart>
        <c:barDir val="col"/>
        <c:grouping val="clustered"/>
        <c:varyColors val="0"/>
        <c:ser>
          <c:idx val="1"/>
          <c:order val="2"/>
          <c:tx>
            <c:strRef>
              <c:f>'Total Energy  (City Level)'!$Q$2</c:f>
              <c:strCache>
                <c:ptCount val="1"/>
                <c:pt idx="0">
                  <c:v>Total campus energy use, MMBtu</c:v>
                </c:pt>
              </c:strCache>
            </c:strRef>
          </c:tx>
          <c:spPr>
            <a:solidFill>
              <a:srgbClr val="FFFF00"/>
            </a:solidFill>
          </c:spPr>
          <c:invertIfNegative val="0"/>
          <c:trendline>
            <c:spPr>
              <a:ln w="15875"/>
            </c:spPr>
            <c:trendlineType val="linear"/>
            <c:dispRSqr val="0"/>
            <c:dispEq val="0"/>
          </c:trendline>
          <c:cat>
            <c:numRef>
              <c:f>'Total Energy  (City Level)'!$A$3:$A$13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'Total Energy  (City Level)'!$Q$3:$Q$13</c:f>
              <c:numCache>
                <c:formatCode>#,##0</c:formatCode>
                <c:ptCount val="11"/>
                <c:pt idx="0">
                  <c:v>4042937.2267040005</c:v>
                </c:pt>
                <c:pt idx="1">
                  <c:v>3764219.5927879997</c:v>
                </c:pt>
                <c:pt idx="2">
                  <c:v>3563019.2624240001</c:v>
                </c:pt>
                <c:pt idx="3">
                  <c:v>3693682.8435160001</c:v>
                </c:pt>
                <c:pt idx="4">
                  <c:v>3742065.5290760002</c:v>
                </c:pt>
                <c:pt idx="5">
                  <c:v>3624910.9873240003</c:v>
                </c:pt>
                <c:pt idx="6">
                  <c:v>3418188.4650520002</c:v>
                </c:pt>
                <c:pt idx="7">
                  <c:v>3553587.97438</c:v>
                </c:pt>
                <c:pt idx="8">
                  <c:v>3319465.0786319999</c:v>
                </c:pt>
                <c:pt idx="9">
                  <c:v>3417564.9340880001</c:v>
                </c:pt>
                <c:pt idx="10">
                  <c:v>3594815.8591600005</c:v>
                </c:pt>
              </c:numCache>
            </c:numRef>
          </c:val>
          <c:extLst>
            <c:ext xmlns:c16="http://schemas.microsoft.com/office/drawing/2014/chart" uri="{C3380CC4-5D6E-409C-BE32-E72D297353CC}">
              <c16:uniqueId val="{00000001-F4B1-4DB6-A85B-D2985167F981}"/>
            </c:ext>
          </c:extLst>
        </c:ser>
        <c:dLbls>
          <c:showLegendKey val="0"/>
          <c:showVal val="0"/>
          <c:showCatName val="0"/>
          <c:showSerName val="0"/>
          <c:showPercent val="0"/>
          <c:showBubbleSize val="0"/>
        </c:dLbls>
        <c:gapWidth val="150"/>
        <c:axId val="1730538896"/>
        <c:axId val="1"/>
      </c:barChart>
      <c:lineChart>
        <c:grouping val="standard"/>
        <c:varyColors val="0"/>
        <c:ser>
          <c:idx val="0"/>
          <c:order val="0"/>
          <c:tx>
            <c:strRef>
              <c:f>'Total Energy  (City Level)'!$V$2</c:f>
              <c:strCache>
                <c:ptCount val="1"/>
                <c:pt idx="0">
                  <c:v>Cooling degree days^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'Total Energy  (City Level)'!$A$3:$A$13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'Total Energy  (City Level)'!$V$3:$V$13</c:f>
              <c:numCache>
                <c:formatCode>General</c:formatCode>
                <c:ptCount val="11"/>
                <c:pt idx="0">
                  <c:v>946.69999999999993</c:v>
                </c:pt>
                <c:pt idx="1">
                  <c:v>959</c:v>
                </c:pt>
                <c:pt idx="2">
                  <c:v>1251.8</c:v>
                </c:pt>
                <c:pt idx="3">
                  <c:v>1155.9000000000001</c:v>
                </c:pt>
                <c:pt idx="4">
                  <c:v>1085.5999999999999</c:v>
                </c:pt>
                <c:pt idx="5">
                  <c:v>910.19999999999993</c:v>
                </c:pt>
                <c:pt idx="6">
                  <c:v>825.69999999999993</c:v>
                </c:pt>
                <c:pt idx="7">
                  <c:v>1200</c:v>
                </c:pt>
                <c:pt idx="8">
                  <c:v>1346.3</c:v>
                </c:pt>
                <c:pt idx="9">
                  <c:v>1256.6999999999998</c:v>
                </c:pt>
                <c:pt idx="10">
                  <c:v>1149.5</c:v>
                </c:pt>
              </c:numCache>
            </c:numRef>
          </c:val>
          <c:smooth val="0"/>
          <c:extLst>
            <c:ext xmlns:c16="http://schemas.microsoft.com/office/drawing/2014/chart" uri="{C3380CC4-5D6E-409C-BE32-E72D297353CC}">
              <c16:uniqueId val="{00000002-F4B1-4DB6-A85B-D2985167F981}"/>
            </c:ext>
          </c:extLst>
        </c:ser>
        <c:ser>
          <c:idx val="2"/>
          <c:order val="1"/>
          <c:tx>
            <c:strRef>
              <c:f>'Total Energy  (City Level)'!$W$2</c:f>
              <c:strCache>
                <c:ptCount val="1"/>
                <c:pt idx="0">
                  <c:v>Heating degree days^</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numRef>
              <c:f>'Total Energy  (City Level)'!$A$3:$A$13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'Total Energy  (City Level)'!$W$3:$W$13</c:f>
              <c:numCache>
                <c:formatCode>General</c:formatCode>
                <c:ptCount val="11"/>
                <c:pt idx="0">
                  <c:v>5754.2</c:v>
                </c:pt>
                <c:pt idx="1">
                  <c:v>5568.6999999999989</c:v>
                </c:pt>
                <c:pt idx="2">
                  <c:v>5496.0999999999995</c:v>
                </c:pt>
                <c:pt idx="3">
                  <c:v>5624.1</c:v>
                </c:pt>
                <c:pt idx="4">
                  <c:v>6025.0000000000009</c:v>
                </c:pt>
                <c:pt idx="5">
                  <c:v>6276.4</c:v>
                </c:pt>
                <c:pt idx="6">
                  <c:v>5761.3</c:v>
                </c:pt>
                <c:pt idx="7">
                  <c:v>6021.5</c:v>
                </c:pt>
                <c:pt idx="8">
                  <c:v>4768.3</c:v>
                </c:pt>
                <c:pt idx="9">
                  <c:v>5863.9000000000005</c:v>
                </c:pt>
                <c:pt idx="10">
                  <c:v>6810</c:v>
                </c:pt>
              </c:numCache>
            </c:numRef>
          </c:val>
          <c:smooth val="0"/>
          <c:extLst>
            <c:ext xmlns:c16="http://schemas.microsoft.com/office/drawing/2014/chart" uri="{C3380CC4-5D6E-409C-BE32-E72D297353CC}">
              <c16:uniqueId val="{00000003-F4B1-4DB6-A85B-D2985167F981}"/>
            </c:ext>
          </c:extLst>
        </c:ser>
        <c:dLbls>
          <c:showLegendKey val="0"/>
          <c:showVal val="0"/>
          <c:showCatName val="0"/>
          <c:showSerName val="0"/>
          <c:showPercent val="0"/>
          <c:showBubbleSize val="0"/>
        </c:dLbls>
        <c:marker val="1"/>
        <c:smooth val="0"/>
        <c:axId val="3"/>
        <c:axId val="4"/>
      </c:lineChart>
      <c:catAx>
        <c:axId val="1730538896"/>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Fiscal Year</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5000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38896"/>
        <c:crosses val="autoZero"/>
        <c:crossBetween val="between"/>
        <c:dispUnits>
          <c:builtInUnit val="thousands"/>
          <c:dispUnitsLbl>
            <c:layout>
              <c:manualLayout>
                <c:xMode val="edge"/>
                <c:yMode val="edge"/>
                <c:x val="4.1904479513282585E-2"/>
                <c:y val="0.2516781698583973"/>
              </c:manualLayout>
            </c:layout>
            <c:tx>
              <c:rich>
                <a:bodyPr rot="-5400000" vert="horz"/>
                <a:lstStyle/>
                <a:p>
                  <a:pPr algn="ctr">
                    <a:defRPr sz="950" b="0" i="0" u="none" strike="noStrike" baseline="0">
                      <a:solidFill>
                        <a:srgbClr val="000000"/>
                      </a:solidFill>
                      <a:latin typeface="Arial"/>
                      <a:ea typeface="Arial"/>
                      <a:cs typeface="Arial"/>
                    </a:defRPr>
                  </a:pPr>
                  <a:r>
                    <a:rPr lang="en-US"/>
                    <a:t>Thousand MMBtus</a:t>
                  </a:r>
                </a:p>
              </c:rich>
            </c:tx>
            <c:spPr>
              <a:noFill/>
              <a:ln w="25400">
                <a:noFill/>
              </a:ln>
            </c:spPr>
          </c:dispUnitsLbl>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spPr>
        <a:noFill/>
        <a:ln w="25400">
          <a:noFill/>
        </a:ln>
      </c:spPr>
    </c:plotArea>
    <c:legend>
      <c:legendPos val="r"/>
      <c:layout>
        <c:manualLayout>
          <c:xMode val="edge"/>
          <c:yMode val="edge"/>
          <c:x val="0.436043279730295"/>
          <c:y val="2.21781089129112E-2"/>
          <c:w val="0.5566353503471051"/>
          <c:h val="0.5443717642260022"/>
        </c:manualLayout>
      </c:layout>
      <c:overlay val="0"/>
      <c:spPr>
        <a:solidFill>
          <a:srgbClr val="FFFFFF"/>
        </a:solidFill>
        <a:ln w="3175">
          <a:noFill/>
          <a:prstDash val="solid"/>
        </a:ln>
      </c:spPr>
      <c:txPr>
        <a:bodyPr/>
        <a:lstStyle/>
        <a:p>
          <a:pPr>
            <a:defRPr sz="5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0">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UIC Energy Consumption </a:t>
            </a:r>
          </a:p>
        </c:rich>
      </c:tx>
      <c:overlay val="0"/>
    </c:title>
    <c:autoTitleDeleted val="0"/>
    <c:plotArea>
      <c:layout>
        <c:manualLayout>
          <c:layoutTarget val="inner"/>
          <c:xMode val="edge"/>
          <c:yMode val="edge"/>
          <c:x val="0.13906810924453081"/>
          <c:y val="0.11856829194427619"/>
          <c:w val="0.75792087308355982"/>
          <c:h val="0.76174621458521863"/>
        </c:manualLayout>
      </c:layout>
      <c:barChart>
        <c:barDir val="col"/>
        <c:grouping val="clustered"/>
        <c:varyColors val="0"/>
        <c:ser>
          <c:idx val="1"/>
          <c:order val="2"/>
          <c:tx>
            <c:strRef>
              <c:f>'Total Energy  (City Level)'!$Q$2</c:f>
              <c:strCache>
                <c:ptCount val="1"/>
                <c:pt idx="0">
                  <c:v>Total campus energy use, MMBtu</c:v>
                </c:pt>
              </c:strCache>
            </c:strRef>
          </c:tx>
          <c:spPr>
            <a:solidFill>
              <a:srgbClr val="FFFF00"/>
            </a:solidFill>
          </c:spPr>
          <c:invertIfNegative val="0"/>
          <c:cat>
            <c:numRef>
              <c:f>'Total Energy  (City Level)'!$A$3:$A$13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'Total Energy  (City Level)'!$Q$3:$Q$13</c:f>
              <c:numCache>
                <c:formatCode>#,##0</c:formatCode>
                <c:ptCount val="11"/>
                <c:pt idx="0">
                  <c:v>4042937.2267040005</c:v>
                </c:pt>
                <c:pt idx="1">
                  <c:v>3764219.5927879997</c:v>
                </c:pt>
                <c:pt idx="2">
                  <c:v>3563019.2624240001</c:v>
                </c:pt>
                <c:pt idx="3">
                  <c:v>3693682.8435160001</c:v>
                </c:pt>
                <c:pt idx="4">
                  <c:v>3742065.5290760002</c:v>
                </c:pt>
                <c:pt idx="5">
                  <c:v>3624910.9873240003</c:v>
                </c:pt>
                <c:pt idx="6">
                  <c:v>3418188.4650520002</c:v>
                </c:pt>
                <c:pt idx="7">
                  <c:v>3553587.97438</c:v>
                </c:pt>
                <c:pt idx="8">
                  <c:v>3319465.0786319999</c:v>
                </c:pt>
                <c:pt idx="9">
                  <c:v>3417564.9340880001</c:v>
                </c:pt>
                <c:pt idx="10">
                  <c:v>3594815.8591600005</c:v>
                </c:pt>
              </c:numCache>
            </c:numRef>
          </c:val>
          <c:extLst>
            <c:ext xmlns:c16="http://schemas.microsoft.com/office/drawing/2014/chart" uri="{C3380CC4-5D6E-409C-BE32-E72D297353CC}">
              <c16:uniqueId val="{00000000-D2F8-4C02-A062-47B7BC4F4488}"/>
            </c:ext>
          </c:extLst>
        </c:ser>
        <c:dLbls>
          <c:showLegendKey val="0"/>
          <c:showVal val="0"/>
          <c:showCatName val="0"/>
          <c:showSerName val="0"/>
          <c:showPercent val="0"/>
          <c:showBubbleSize val="0"/>
        </c:dLbls>
        <c:gapWidth val="150"/>
        <c:axId val="1730550128"/>
        <c:axId val="1"/>
      </c:barChart>
      <c:lineChart>
        <c:grouping val="standard"/>
        <c:varyColors val="0"/>
        <c:ser>
          <c:idx val="0"/>
          <c:order val="0"/>
          <c:tx>
            <c:strRef>
              <c:f>'Total Energy  (City Level)'!$V$2</c:f>
              <c:strCache>
                <c:ptCount val="1"/>
                <c:pt idx="0">
                  <c:v>Cooling degree days^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'Total Energy  (City Level)'!$A$3:$A$13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'Total Energy  (City Level)'!$V$3:$V$13</c:f>
              <c:numCache>
                <c:formatCode>General</c:formatCode>
                <c:ptCount val="11"/>
                <c:pt idx="0">
                  <c:v>946.69999999999993</c:v>
                </c:pt>
                <c:pt idx="1">
                  <c:v>959</c:v>
                </c:pt>
                <c:pt idx="2">
                  <c:v>1251.8</c:v>
                </c:pt>
                <c:pt idx="3">
                  <c:v>1155.9000000000001</c:v>
                </c:pt>
                <c:pt idx="4">
                  <c:v>1085.5999999999999</c:v>
                </c:pt>
                <c:pt idx="5">
                  <c:v>910.19999999999993</c:v>
                </c:pt>
                <c:pt idx="6">
                  <c:v>825.69999999999993</c:v>
                </c:pt>
                <c:pt idx="7">
                  <c:v>1200</c:v>
                </c:pt>
                <c:pt idx="8">
                  <c:v>1346.3</c:v>
                </c:pt>
                <c:pt idx="9">
                  <c:v>1256.6999999999998</c:v>
                </c:pt>
                <c:pt idx="10">
                  <c:v>1149.5</c:v>
                </c:pt>
              </c:numCache>
            </c:numRef>
          </c:val>
          <c:smooth val="0"/>
          <c:extLst>
            <c:ext xmlns:c16="http://schemas.microsoft.com/office/drawing/2014/chart" uri="{C3380CC4-5D6E-409C-BE32-E72D297353CC}">
              <c16:uniqueId val="{00000001-D2F8-4C02-A062-47B7BC4F4488}"/>
            </c:ext>
          </c:extLst>
        </c:ser>
        <c:ser>
          <c:idx val="2"/>
          <c:order val="1"/>
          <c:tx>
            <c:strRef>
              <c:f>'Total Energy  (City Level)'!$W$2</c:f>
              <c:strCache>
                <c:ptCount val="1"/>
                <c:pt idx="0">
                  <c:v>Heating degree days^</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numRef>
              <c:f>'Total Energy  (City Level)'!$A$3:$A$13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'Total Energy  (City Level)'!$W$3:$W$13</c:f>
              <c:numCache>
                <c:formatCode>General</c:formatCode>
                <c:ptCount val="11"/>
                <c:pt idx="0">
                  <c:v>5754.2</c:v>
                </c:pt>
                <c:pt idx="1">
                  <c:v>5568.6999999999989</c:v>
                </c:pt>
                <c:pt idx="2">
                  <c:v>5496.0999999999995</c:v>
                </c:pt>
                <c:pt idx="3">
                  <c:v>5624.1</c:v>
                </c:pt>
                <c:pt idx="4">
                  <c:v>6025.0000000000009</c:v>
                </c:pt>
                <c:pt idx="5">
                  <c:v>6276.4</c:v>
                </c:pt>
                <c:pt idx="6">
                  <c:v>5761.3</c:v>
                </c:pt>
                <c:pt idx="7">
                  <c:v>6021.5</c:v>
                </c:pt>
                <c:pt idx="8">
                  <c:v>4768.3</c:v>
                </c:pt>
                <c:pt idx="9">
                  <c:v>5863.9000000000005</c:v>
                </c:pt>
                <c:pt idx="10">
                  <c:v>6810</c:v>
                </c:pt>
              </c:numCache>
            </c:numRef>
          </c:val>
          <c:smooth val="0"/>
          <c:extLst>
            <c:ext xmlns:c16="http://schemas.microsoft.com/office/drawing/2014/chart" uri="{C3380CC4-5D6E-409C-BE32-E72D297353CC}">
              <c16:uniqueId val="{00000002-D2F8-4C02-A062-47B7BC4F4488}"/>
            </c:ext>
          </c:extLst>
        </c:ser>
        <c:dLbls>
          <c:showLegendKey val="0"/>
          <c:showVal val="0"/>
          <c:showCatName val="0"/>
          <c:showSerName val="0"/>
          <c:showPercent val="0"/>
          <c:showBubbleSize val="0"/>
        </c:dLbls>
        <c:marker val="1"/>
        <c:smooth val="0"/>
        <c:axId val="3"/>
        <c:axId val="4"/>
      </c:lineChart>
      <c:catAx>
        <c:axId val="173055012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Fiscal Year</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500000"/>
          <c:min val="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Thousand MMBtus</a:t>
                </a:r>
              </a:p>
            </c:rich>
          </c:tx>
          <c:layout>
            <c:manualLayout>
              <c:xMode val="edge"/>
              <c:yMode val="edge"/>
              <c:x val="3.7012380606637203E-2"/>
              <c:y val="0.28814335123997348"/>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50128"/>
        <c:crosses val="autoZero"/>
        <c:crossBetween val="between"/>
        <c:dispUnits>
          <c:builtInUnit val="thousan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spPr>
        <a:noFill/>
        <a:ln w="25400">
          <a:noFill/>
        </a:ln>
      </c:spPr>
    </c:plotArea>
    <c:plotVisOnly val="1"/>
    <c:dispBlanksAs val="gap"/>
    <c:showDLblsOverMax val="0"/>
  </c:chart>
  <c:spPr>
    <a:solidFill>
      <a:srgbClr val="FFFFFF"/>
    </a:solidFill>
    <a:ln w="0">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Energy Use Intensity</a:t>
            </a:r>
          </a:p>
        </c:rich>
      </c:tx>
      <c:overlay val="0"/>
      <c:spPr>
        <a:noFill/>
        <a:ln w="25400">
          <a:noFill/>
        </a:ln>
      </c:spPr>
    </c:title>
    <c:autoTitleDeleted val="0"/>
    <c:plotArea>
      <c:layout/>
      <c:barChart>
        <c:barDir val="col"/>
        <c:grouping val="clustered"/>
        <c:varyColors val="0"/>
        <c:ser>
          <c:idx val="0"/>
          <c:order val="0"/>
          <c:tx>
            <c:v>Btu/sq ft/ HDD</c:v>
          </c:tx>
          <c:spPr>
            <a:solidFill>
              <a:schemeClr val="accent2">
                <a:lumMod val="75000"/>
              </a:schemeClr>
            </a:solidFill>
            <a:ln>
              <a:solidFill>
                <a:sysClr val="windowText" lastClr="000000"/>
              </a:solidFill>
            </a:ln>
            <a:effectLst/>
          </c:spPr>
          <c:invertIfNegative val="0"/>
          <c:dLbls>
            <c:spPr>
              <a:noFill/>
              <a:ln w="25400">
                <a:noFill/>
              </a:ln>
            </c:spPr>
            <c:txPr>
              <a:bodyPr wrap="square" lIns="38100" tIns="19050" rIns="38100" bIns="19050" anchor="ctr">
                <a:spAutoFit/>
              </a:bodyPr>
              <a:lstStyle/>
              <a:p>
                <a:pPr>
                  <a:defRPr sz="10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cat>
            <c:numRef>
              <c:f>'Total Energy  (City Level)'!$A$3:$A$13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'Total Energy  (City Level)'!$Z$3:$Z$13</c:f>
              <c:numCache>
                <c:formatCode>0.0</c:formatCode>
                <c:ptCount val="11"/>
                <c:pt idx="0">
                  <c:v>53.389476349429664</c:v>
                </c:pt>
                <c:pt idx="1">
                  <c:v>51.468774192672974</c:v>
                </c:pt>
                <c:pt idx="2">
                  <c:v>47.58905472460183</c:v>
                </c:pt>
                <c:pt idx="3">
                  <c:v>46.966368956824894</c:v>
                </c:pt>
                <c:pt idx="4">
                  <c:v>42.273941061041121</c:v>
                </c:pt>
                <c:pt idx="5">
                  <c:v>39.409243188881803</c:v>
                </c:pt>
                <c:pt idx="6">
                  <c:v>40.522217667280678</c:v>
                </c:pt>
                <c:pt idx="7">
                  <c:v>40.30696254789617</c:v>
                </c:pt>
                <c:pt idx="8">
                  <c:v>47.535213980465322</c:v>
                </c:pt>
                <c:pt idx="9">
                  <c:v>39.789468321167739</c:v>
                </c:pt>
                <c:pt idx="10">
                  <c:v>35.737826504895608</c:v>
                </c:pt>
              </c:numCache>
            </c:numRef>
          </c:val>
          <c:extLst>
            <c:ext xmlns:c16="http://schemas.microsoft.com/office/drawing/2014/chart" uri="{C3380CC4-5D6E-409C-BE32-E72D297353CC}">
              <c16:uniqueId val="{00000001-B38E-47D0-892E-A40D436649F3}"/>
            </c:ext>
          </c:extLst>
        </c:ser>
        <c:dLbls>
          <c:showLegendKey val="0"/>
          <c:showVal val="0"/>
          <c:showCatName val="0"/>
          <c:showSerName val="0"/>
          <c:showPercent val="0"/>
          <c:showBubbleSize val="0"/>
        </c:dLbls>
        <c:gapWidth val="150"/>
        <c:axId val="1730528496"/>
        <c:axId val="1"/>
      </c:barChart>
      <c:catAx>
        <c:axId val="1730528496"/>
        <c:scaling>
          <c:orientation val="minMax"/>
        </c:scaling>
        <c:delete val="0"/>
        <c:axPos val="b"/>
        <c:title>
          <c:tx>
            <c:rich>
              <a:bodyPr/>
              <a:lstStyle/>
              <a:p>
                <a:pPr>
                  <a:defRPr sz="1000" b="0" i="0" u="none" strike="noStrike" baseline="0">
                    <a:solidFill>
                      <a:srgbClr val="333333"/>
                    </a:solidFill>
                    <a:latin typeface="Calibri"/>
                    <a:ea typeface="Calibri"/>
                    <a:cs typeface="Calibri"/>
                  </a:defRPr>
                </a:pPr>
                <a:r>
                  <a:rPr lang="en-US"/>
                  <a:t>Fiscal 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33"/>
                    </a:solidFill>
                    <a:latin typeface="Calibri"/>
                    <a:ea typeface="Calibri"/>
                    <a:cs typeface="Calibri"/>
                  </a:defRPr>
                </a:pPr>
                <a:r>
                  <a:rPr lang="en-US"/>
                  <a:t>Btu/Sq. Ft./HDD</a:t>
                </a:r>
              </a:p>
            </c:rich>
          </c:tx>
          <c:overlay val="0"/>
          <c:spPr>
            <a:noFill/>
            <a:ln w="25400">
              <a:noFill/>
            </a:ln>
          </c:spPr>
        </c:title>
        <c:numFmt formatCode="0.0" sourceLinked="1"/>
        <c:majorTickMark val="out"/>
        <c:minorTickMark val="none"/>
        <c:tickLblPos val="nextTo"/>
        <c:crossAx val="1730528496"/>
        <c:crosses val="autoZero"/>
        <c:crossBetween val="between"/>
      </c:valAx>
      <c:spPr>
        <a:noFill/>
        <a:ln w="25400">
          <a:noFill/>
        </a:ln>
      </c:spPr>
    </c:plotArea>
    <c:legend>
      <c:legendPos val="r"/>
      <c:layout>
        <c:manualLayout>
          <c:xMode val="edge"/>
          <c:yMode val="edge"/>
          <c:x val="8.9531283574084963E-2"/>
          <c:y val="0.20434706082153009"/>
          <c:w val="0.7969883011014528"/>
          <c:h val="0.11754476949911023"/>
        </c:manualLayout>
      </c:layout>
      <c:overlay val="0"/>
      <c:spPr>
        <a:noFill/>
        <a:ln w="25400">
          <a:noFill/>
        </a:ln>
      </c:spPr>
      <c:txPr>
        <a:bodyPr/>
        <a:lstStyle/>
        <a:p>
          <a:pPr>
            <a:defRPr sz="69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lineChart>
        <c:grouping val="standard"/>
        <c:varyColors val="0"/>
        <c:ser>
          <c:idx val="0"/>
          <c:order val="0"/>
          <c:tx>
            <c:strRef>
              <c:f>'Total Energy  (City Level)'!$AB$2</c:f>
              <c:strCache>
                <c:ptCount val="1"/>
                <c:pt idx="0">
                  <c:v>Savings per sq ft per HDD vs 2004</c:v>
                </c:pt>
              </c:strCache>
            </c:strRef>
          </c:tx>
          <c:spPr>
            <a:ln w="28575" cap="rnd">
              <a:solidFill>
                <a:schemeClr val="accent1"/>
              </a:solidFill>
              <a:round/>
            </a:ln>
            <a:effectLst/>
          </c:spPr>
          <c:marker>
            <c:symbol val="none"/>
          </c:marker>
          <c:cat>
            <c:numRef>
              <c:f>'Total Energy  (City Level)'!$A$3:$A$14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'Total Energy  (City Level)'!$AB$3:$AB$13</c:f>
              <c:numCache>
                <c:formatCode>0%</c:formatCode>
                <c:ptCount val="11"/>
                <c:pt idx="0">
                  <c:v>0</c:v>
                </c:pt>
                <c:pt idx="1">
                  <c:v>3.5975294909915474E-2</c:v>
                </c:pt>
                <c:pt idx="2">
                  <c:v>0.10864353841690746</c:v>
                </c:pt>
                <c:pt idx="3">
                  <c:v>0.12030661905290227</c:v>
                </c:pt>
                <c:pt idx="4">
                  <c:v>0.20819712138846039</c:v>
                </c:pt>
                <c:pt idx="5">
                  <c:v>0.2618537231766126</c:v>
                </c:pt>
                <c:pt idx="6">
                  <c:v>0.24100739625041182</c:v>
                </c:pt>
                <c:pt idx="7">
                  <c:v>0.24503918554865634</c:v>
                </c:pt>
                <c:pt idx="8">
                  <c:v>0.10965199079025768</c:v>
                </c:pt>
                <c:pt idx="9">
                  <c:v>0.25473199885406272</c:v>
                </c:pt>
                <c:pt idx="10">
                  <c:v>0.3306203965928694</c:v>
                </c:pt>
              </c:numCache>
            </c:numRef>
          </c:val>
          <c:smooth val="0"/>
          <c:extLst>
            <c:ext xmlns:c16="http://schemas.microsoft.com/office/drawing/2014/chart" uri="{C3380CC4-5D6E-409C-BE32-E72D297353CC}">
              <c16:uniqueId val="{00000000-F5EC-47FC-8581-EC028EF3F067}"/>
            </c:ext>
          </c:extLst>
        </c:ser>
        <c:dLbls>
          <c:showLegendKey val="0"/>
          <c:showVal val="0"/>
          <c:showCatName val="0"/>
          <c:showSerName val="0"/>
          <c:showPercent val="0"/>
          <c:showBubbleSize val="0"/>
        </c:dLbls>
        <c:smooth val="0"/>
        <c:axId val="1730550960"/>
        <c:axId val="1"/>
      </c:lineChart>
      <c:catAx>
        <c:axId val="173055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73055096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spPr>
        <a:noFill/>
        <a:ln w="25400">
          <a:noFill/>
        </a:ln>
      </c:spPr>
      <c:txPr>
        <a:bodyPr/>
        <a:lstStyle/>
        <a:p>
          <a:pPr>
            <a:defRPr sz="10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299685164939129"/>
          <c:y val="0.31476323119777283"/>
          <c:w val="0.84848624343408663"/>
          <c:h val="0.55988857938718661"/>
        </c:manualLayout>
      </c:layout>
      <c:barChart>
        <c:barDir val="col"/>
        <c:grouping val="stacked"/>
        <c:varyColors val="0"/>
        <c:ser>
          <c:idx val="1"/>
          <c:order val="0"/>
          <c:tx>
            <c:strRef>
              <c:f>'Total Energy  adj sq ft'!$S$2</c:f>
              <c:strCache>
                <c:ptCount val="1"/>
                <c:pt idx="0">
                  <c:v>Total kBtu per square foot</c:v>
                </c:pt>
              </c:strCache>
            </c:strRef>
          </c:tx>
          <c:spPr>
            <a:solidFill>
              <a:srgbClr val="92D050"/>
            </a:solidFill>
            <a:ln w="12700">
              <a:solidFill>
                <a:srgbClr val="000000"/>
              </a:solidFill>
              <a:prstDash val="solid"/>
            </a:ln>
          </c:spPr>
          <c:invertIfNegative val="0"/>
          <c:cat>
            <c:numRef>
              <c:f>'Total Energy  adj sq ft'!$A$3:$A$19</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'Total Energy  adj sq ft'!$S$3:$S$19</c:f>
              <c:numCache>
                <c:formatCode>#,##0.00</c:formatCode>
                <c:ptCount val="17"/>
                <c:pt idx="0">
                  <c:v>307.21372480988816</c:v>
                </c:pt>
                <c:pt idx="1">
                  <c:v>286.61416284673794</c:v>
                </c:pt>
                <c:pt idx="2">
                  <c:v>266.53686716249888</c:v>
                </c:pt>
                <c:pt idx="3">
                  <c:v>269.04318408380419</c:v>
                </c:pt>
                <c:pt idx="4">
                  <c:v>259.19314552636797</c:v>
                </c:pt>
                <c:pt idx="5">
                  <c:v>251.72232556335973</c:v>
                </c:pt>
                <c:pt idx="6">
                  <c:v>237.45911613354809</c:v>
                </c:pt>
                <c:pt idx="7">
                  <c:v>246.86305538562272</c:v>
                </c:pt>
                <c:pt idx="8">
                  <c:v>230.51361856552282</c:v>
                </c:pt>
                <c:pt idx="9">
                  <c:v>237.28917359483833</c:v>
                </c:pt>
                <c:pt idx="10">
                  <c:v>247.48030308526751</c:v>
                </c:pt>
                <c:pt idx="11">
                  <c:v>225.21577321948078</c:v>
                </c:pt>
                <c:pt idx="12">
                  <c:v>201.96537907364296</c:v>
                </c:pt>
                <c:pt idx="13">
                  <c:v>200.45645581914269</c:v>
                </c:pt>
                <c:pt idx="14">
                  <c:v>211.78337976229344</c:v>
                </c:pt>
                <c:pt idx="15">
                  <c:v>217.24715332244111</c:v>
                </c:pt>
                <c:pt idx="16">
                  <c:v>206.19592006854802</c:v>
                </c:pt>
              </c:numCache>
            </c:numRef>
          </c:val>
          <c:extLst>
            <c:ext xmlns:c16="http://schemas.microsoft.com/office/drawing/2014/chart" uri="{C3380CC4-5D6E-409C-BE32-E72D297353CC}">
              <c16:uniqueId val="{00000000-0BB8-4FD5-91F9-1276111DE4D5}"/>
            </c:ext>
          </c:extLst>
        </c:ser>
        <c:dLbls>
          <c:showLegendKey val="0"/>
          <c:showVal val="0"/>
          <c:showCatName val="0"/>
          <c:showSerName val="0"/>
          <c:showPercent val="0"/>
          <c:showBubbleSize val="0"/>
        </c:dLbls>
        <c:gapWidth val="150"/>
        <c:overlap val="100"/>
        <c:axId val="1730528912"/>
        <c:axId val="1"/>
      </c:barChart>
      <c:catAx>
        <c:axId val="1730528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MarkSkip val="1"/>
        <c:noMultiLvlLbl val="0"/>
      </c:catAx>
      <c:valAx>
        <c:axId val="1"/>
        <c:scaling>
          <c:orientation val="minMax"/>
          <c:min val="0"/>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28912"/>
        <c:crosses val="autoZero"/>
        <c:crossBetween val="between"/>
        <c:dispUnits>
          <c:builtInUnit val="thousands"/>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UIC Energy Consumption </a:t>
            </a:r>
          </a:p>
        </c:rich>
      </c:tx>
      <c:layout>
        <c:manualLayout>
          <c:xMode val="edge"/>
          <c:yMode val="edge"/>
          <c:x val="0.15966154936722934"/>
          <c:y val="1.3422746430555103E-2"/>
        </c:manualLayout>
      </c:layout>
      <c:overlay val="0"/>
    </c:title>
    <c:autoTitleDeleted val="0"/>
    <c:plotArea>
      <c:layout>
        <c:manualLayout>
          <c:layoutTarget val="inner"/>
          <c:xMode val="edge"/>
          <c:yMode val="edge"/>
          <c:x val="0.13434513771781961"/>
          <c:y val="0.11856823266219239"/>
          <c:w val="0.52460026438301055"/>
          <c:h val="0.76174621458521818"/>
        </c:manualLayout>
      </c:layout>
      <c:barChart>
        <c:barDir val="col"/>
        <c:grouping val="clustered"/>
        <c:varyColors val="0"/>
        <c:ser>
          <c:idx val="1"/>
          <c:order val="2"/>
          <c:tx>
            <c:strRef>
              <c:f>'Total Energy  adj sq ft'!$Q$2</c:f>
              <c:strCache>
                <c:ptCount val="1"/>
                <c:pt idx="0">
                  <c:v>Total campus energy use, MMBtu</c:v>
                </c:pt>
              </c:strCache>
            </c:strRef>
          </c:tx>
          <c:spPr>
            <a:solidFill>
              <a:srgbClr val="FFFF00"/>
            </a:solidFill>
          </c:spPr>
          <c:invertIfNegative val="0"/>
          <c:trendline>
            <c:spPr>
              <a:ln w="15875"/>
            </c:spPr>
            <c:trendlineType val="linear"/>
            <c:dispRSqr val="0"/>
            <c:dispEq val="0"/>
          </c:trendline>
          <c:cat>
            <c:numRef>
              <c:f>'Total Energy  adj sq ft'!$A$3:$A$19</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'Total Energy  adj sq ft'!$Q$3:$Q$19</c:f>
              <c:numCache>
                <c:formatCode>#,##0</c:formatCode>
                <c:ptCount val="17"/>
                <c:pt idx="0">
                  <c:v>4042937.2267040005</c:v>
                </c:pt>
                <c:pt idx="1">
                  <c:v>3764219.5927879997</c:v>
                </c:pt>
                <c:pt idx="2">
                  <c:v>3563019.2624240001</c:v>
                </c:pt>
                <c:pt idx="3">
                  <c:v>3693682.8435160001</c:v>
                </c:pt>
                <c:pt idx="4">
                  <c:v>3742065.5290760002</c:v>
                </c:pt>
                <c:pt idx="5">
                  <c:v>3624910.9873240003</c:v>
                </c:pt>
                <c:pt idx="6">
                  <c:v>3416260.1898520002</c:v>
                </c:pt>
                <c:pt idx="7">
                  <c:v>3551552.1248079999</c:v>
                </c:pt>
                <c:pt idx="8">
                  <c:v>3317167.0406519999</c:v>
                </c:pt>
                <c:pt idx="9">
                  <c:v>3415253.7194024003</c:v>
                </c:pt>
                <c:pt idx="10">
                  <c:v>3592436.7010812005</c:v>
                </c:pt>
                <c:pt idx="11">
                  <c:v>3340423.9960475271</c:v>
                </c:pt>
                <c:pt idx="12">
                  <c:v>2997515.4235932799</c:v>
                </c:pt>
                <c:pt idx="13">
                  <c:v>2967331.4575208803</c:v>
                </c:pt>
                <c:pt idx="14">
                  <c:v>3135002.474132</c:v>
                </c:pt>
                <c:pt idx="15">
                  <c:v>3324855.7993160002</c:v>
                </c:pt>
                <c:pt idx="16">
                  <c:v>3122357.8039240004</c:v>
                </c:pt>
              </c:numCache>
            </c:numRef>
          </c:val>
          <c:extLst>
            <c:ext xmlns:c16="http://schemas.microsoft.com/office/drawing/2014/chart" uri="{C3380CC4-5D6E-409C-BE32-E72D297353CC}">
              <c16:uniqueId val="{00000001-47EE-4AFD-96DA-F6BCEDE82B0D}"/>
            </c:ext>
          </c:extLst>
        </c:ser>
        <c:dLbls>
          <c:showLegendKey val="0"/>
          <c:showVal val="0"/>
          <c:showCatName val="0"/>
          <c:showSerName val="0"/>
          <c:showPercent val="0"/>
          <c:showBubbleSize val="0"/>
        </c:dLbls>
        <c:gapWidth val="150"/>
        <c:axId val="1730536816"/>
        <c:axId val="1"/>
      </c:barChart>
      <c:lineChart>
        <c:grouping val="standard"/>
        <c:varyColors val="0"/>
        <c:ser>
          <c:idx val="0"/>
          <c:order val="0"/>
          <c:tx>
            <c:strRef>
              <c:f>'Total Energy  adj sq ft'!$W$2</c:f>
              <c:strCache>
                <c:ptCount val="1"/>
                <c:pt idx="0">
                  <c:v>Cooling degree days^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Lit>
              <c:formatCode>General</c:formatCode>
              <c:ptCount val="1"/>
              <c:pt idx="0">
                <c:v>5</c:v>
              </c:pt>
            </c:numLit>
          </c:cat>
          <c:val>
            <c:numRef>
              <c:f>'Total Energy  adj sq ft'!$W$3:$W$19</c:f>
              <c:numCache>
                <c:formatCode>General</c:formatCode>
                <c:ptCount val="17"/>
                <c:pt idx="0">
                  <c:v>946.69999999999993</c:v>
                </c:pt>
                <c:pt idx="1">
                  <c:v>959</c:v>
                </c:pt>
                <c:pt idx="2">
                  <c:v>1251.8</c:v>
                </c:pt>
                <c:pt idx="3">
                  <c:v>1155.9000000000001</c:v>
                </c:pt>
                <c:pt idx="4">
                  <c:v>1085.5999999999999</c:v>
                </c:pt>
                <c:pt idx="5">
                  <c:v>910.19999999999993</c:v>
                </c:pt>
                <c:pt idx="6">
                  <c:v>825.69999999999993</c:v>
                </c:pt>
                <c:pt idx="7">
                  <c:v>1200</c:v>
                </c:pt>
                <c:pt idx="8">
                  <c:v>1346.3</c:v>
                </c:pt>
                <c:pt idx="9">
                  <c:v>1256.6999999999998</c:v>
                </c:pt>
                <c:pt idx="10">
                  <c:v>1149.5</c:v>
                </c:pt>
                <c:pt idx="11">
                  <c:v>958</c:v>
                </c:pt>
                <c:pt idx="12">
                  <c:v>1258</c:v>
                </c:pt>
                <c:pt idx="13">
                  <c:v>1450</c:v>
                </c:pt>
                <c:pt idx="14">
                  <c:v>1174</c:v>
                </c:pt>
                <c:pt idx="15">
                  <c:v>1145</c:v>
                </c:pt>
                <c:pt idx="16">
                  <c:v>1228</c:v>
                </c:pt>
              </c:numCache>
            </c:numRef>
          </c:val>
          <c:smooth val="0"/>
          <c:extLst>
            <c:ext xmlns:c16="http://schemas.microsoft.com/office/drawing/2014/chart" uri="{C3380CC4-5D6E-409C-BE32-E72D297353CC}">
              <c16:uniqueId val="{00000002-47EE-4AFD-96DA-F6BCEDE82B0D}"/>
            </c:ext>
          </c:extLst>
        </c:ser>
        <c:ser>
          <c:idx val="2"/>
          <c:order val="1"/>
          <c:tx>
            <c:strRef>
              <c:f>'Total Energy  adj sq ft'!$X$2</c:f>
              <c:strCache>
                <c:ptCount val="1"/>
                <c:pt idx="0">
                  <c:v>Heating degree days^</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numLit>
              <c:formatCode>General</c:formatCode>
              <c:ptCount val="1"/>
              <c:pt idx="0">
                <c:v>5</c:v>
              </c:pt>
            </c:numLit>
          </c:cat>
          <c:val>
            <c:numRef>
              <c:f>'Total Energy  adj sq ft'!$X$3:$X$19</c:f>
              <c:numCache>
                <c:formatCode>General</c:formatCode>
                <c:ptCount val="17"/>
                <c:pt idx="0">
                  <c:v>5754.2</c:v>
                </c:pt>
                <c:pt idx="1">
                  <c:v>5568.6999999999989</c:v>
                </c:pt>
                <c:pt idx="2">
                  <c:v>5496.0999999999995</c:v>
                </c:pt>
                <c:pt idx="3">
                  <c:v>5624.1</c:v>
                </c:pt>
                <c:pt idx="4">
                  <c:v>6025.0000000000009</c:v>
                </c:pt>
                <c:pt idx="5">
                  <c:v>6276.4</c:v>
                </c:pt>
                <c:pt idx="6">
                  <c:v>5761.3</c:v>
                </c:pt>
                <c:pt idx="7">
                  <c:v>6021.5</c:v>
                </c:pt>
                <c:pt idx="8">
                  <c:v>4768.3</c:v>
                </c:pt>
                <c:pt idx="9">
                  <c:v>5863.9000000000005</c:v>
                </c:pt>
                <c:pt idx="10">
                  <c:v>6810</c:v>
                </c:pt>
                <c:pt idx="11">
                  <c:v>6107.4</c:v>
                </c:pt>
                <c:pt idx="12">
                  <c:v>4880</c:v>
                </c:pt>
                <c:pt idx="13">
                  <c:v>5126</c:v>
                </c:pt>
                <c:pt idx="14">
                  <c:v>5908</c:v>
                </c:pt>
                <c:pt idx="15">
                  <c:v>6243</c:v>
                </c:pt>
                <c:pt idx="16">
                  <c:v>5695</c:v>
                </c:pt>
              </c:numCache>
            </c:numRef>
          </c:val>
          <c:smooth val="0"/>
          <c:extLst>
            <c:ext xmlns:c16="http://schemas.microsoft.com/office/drawing/2014/chart" uri="{C3380CC4-5D6E-409C-BE32-E72D297353CC}">
              <c16:uniqueId val="{00000003-47EE-4AFD-96DA-F6BCEDE82B0D}"/>
            </c:ext>
          </c:extLst>
        </c:ser>
        <c:dLbls>
          <c:showLegendKey val="0"/>
          <c:showVal val="0"/>
          <c:showCatName val="0"/>
          <c:showSerName val="0"/>
          <c:showPercent val="0"/>
          <c:showBubbleSize val="0"/>
        </c:dLbls>
        <c:marker val="1"/>
        <c:smooth val="0"/>
        <c:axId val="3"/>
        <c:axId val="4"/>
      </c:lineChart>
      <c:catAx>
        <c:axId val="1730536816"/>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Fiscal Year</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45000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36816"/>
        <c:crosses val="autoZero"/>
        <c:crossBetween val="between"/>
        <c:dispUnits>
          <c:builtInUnit val="thousands"/>
          <c:dispUnitsLbl>
            <c:layout>
              <c:manualLayout>
                <c:xMode val="edge"/>
                <c:yMode val="edge"/>
                <c:x val="4.1904479513282585E-2"/>
                <c:y val="0.2516781698583973"/>
              </c:manualLayout>
            </c:layout>
            <c:tx>
              <c:rich>
                <a:bodyPr rot="-5400000" vert="horz"/>
                <a:lstStyle/>
                <a:p>
                  <a:pPr algn="ctr">
                    <a:defRPr sz="950" b="0" i="0" u="none" strike="noStrike" baseline="0">
                      <a:solidFill>
                        <a:srgbClr val="000000"/>
                      </a:solidFill>
                      <a:latin typeface="Arial"/>
                      <a:ea typeface="Arial"/>
                      <a:cs typeface="Arial"/>
                    </a:defRPr>
                  </a:pPr>
                  <a:r>
                    <a:rPr lang="en-US"/>
                    <a:t>Thousand MMBtus</a:t>
                  </a:r>
                </a:p>
              </c:rich>
            </c:tx>
            <c:spPr>
              <a:noFill/>
              <a:ln w="25400">
                <a:noFill/>
              </a:ln>
            </c:spPr>
          </c:dispUnitsLbl>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spPr>
        <a:noFill/>
        <a:ln w="25400">
          <a:noFill/>
        </a:ln>
      </c:spPr>
    </c:plotArea>
    <c:legend>
      <c:legendPos val="r"/>
      <c:layout>
        <c:manualLayout>
          <c:xMode val="edge"/>
          <c:yMode val="edge"/>
          <c:x val="0.71642224198145266"/>
          <c:y val="2.21781089129112E-2"/>
          <c:w val="0.27501769878593429"/>
          <c:h val="0.44269412914572792"/>
        </c:manualLayout>
      </c:layout>
      <c:overlay val="0"/>
      <c:spPr>
        <a:solidFill>
          <a:srgbClr val="FFFFFF"/>
        </a:solidFill>
        <a:ln w="3175">
          <a:noFill/>
          <a:prstDash val="solid"/>
        </a:ln>
      </c:spPr>
      <c:txPr>
        <a:bodyPr/>
        <a:lstStyle/>
        <a:p>
          <a:pPr>
            <a:defRPr sz="5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0">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Energy Use Intensity per Heating Degree Day</a:t>
            </a:r>
          </a:p>
        </c:rich>
      </c:tx>
      <c:overlay val="0"/>
      <c:spPr>
        <a:noFill/>
        <a:ln w="25400">
          <a:noFill/>
        </a:ln>
      </c:spPr>
    </c:title>
    <c:autoTitleDeleted val="0"/>
    <c:plotArea>
      <c:layout/>
      <c:barChart>
        <c:barDir val="col"/>
        <c:grouping val="clustered"/>
        <c:varyColors val="0"/>
        <c:ser>
          <c:idx val="0"/>
          <c:order val="0"/>
          <c:spPr>
            <a:solidFill>
              <a:schemeClr val="accent2">
                <a:lumMod val="75000"/>
              </a:schemeClr>
            </a:solidFill>
            <a:ln>
              <a:solidFill>
                <a:sysClr val="windowText" lastClr="000000"/>
              </a:solidFill>
            </a:ln>
            <a:effectLst/>
          </c:spPr>
          <c:invertIfNegative val="0"/>
          <c:dLbls>
            <c:spPr>
              <a:noFill/>
              <a:ln w="25400">
                <a:noFill/>
              </a:ln>
            </c:spPr>
            <c:txPr>
              <a:bodyPr wrap="square" lIns="38100" tIns="19050" rIns="38100" bIns="19050" anchor="ctr">
                <a:spAutoFit/>
              </a:bodyPr>
              <a:lstStyle/>
              <a:p>
                <a:pPr>
                  <a:defRPr sz="10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cat>
            <c:numRef>
              <c:f>'Total Energy  adj sq ft'!$A$3:$A$19</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'Total Energy  adj sq ft'!$AB$3:$AB$19</c:f>
              <c:numCache>
                <c:formatCode>0.0</c:formatCode>
                <c:ptCount val="17"/>
                <c:pt idx="0">
                  <c:v>53.389476349429664</c:v>
                </c:pt>
                <c:pt idx="1">
                  <c:v>51.468774192672974</c:v>
                </c:pt>
                <c:pt idx="2">
                  <c:v>48.49563638989445</c:v>
                </c:pt>
                <c:pt idx="3">
                  <c:v>47.837553401220489</c:v>
                </c:pt>
                <c:pt idx="4">
                  <c:v>43.019609215994677</c:v>
                </c:pt>
                <c:pt idx="5">
                  <c:v>40.106163654859429</c:v>
                </c:pt>
                <c:pt idx="6">
                  <c:v>41.21623871930781</c:v>
                </c:pt>
                <c:pt idx="7">
                  <c:v>40.996936873805986</c:v>
                </c:pt>
                <c:pt idx="8">
                  <c:v>48.342935336602736</c:v>
                </c:pt>
                <c:pt idx="9">
                  <c:v>40.466101672067786</c:v>
                </c:pt>
                <c:pt idx="10">
                  <c:v>36.340719983152354</c:v>
                </c:pt>
                <c:pt idx="11">
                  <c:v>36.875883881763237</c:v>
                </c:pt>
                <c:pt idx="12">
                  <c:v>41.386348170828477</c:v>
                </c:pt>
                <c:pt idx="13">
                  <c:v>39.105824389220189</c:v>
                </c:pt>
                <c:pt idx="14">
                  <c:v>35.846882153401054</c:v>
                </c:pt>
                <c:pt idx="15">
                  <c:v>34.798518872728032</c:v>
                </c:pt>
                <c:pt idx="16">
                  <c:v>36.206482891755577</c:v>
                </c:pt>
              </c:numCache>
            </c:numRef>
          </c:val>
          <c:extLst>
            <c:ext xmlns:c16="http://schemas.microsoft.com/office/drawing/2014/chart" uri="{C3380CC4-5D6E-409C-BE32-E72D297353CC}">
              <c16:uniqueId val="{00000001-2FD4-4B5E-B4F7-15404FC74C97}"/>
            </c:ext>
          </c:extLst>
        </c:ser>
        <c:dLbls>
          <c:showLegendKey val="0"/>
          <c:showVal val="0"/>
          <c:showCatName val="0"/>
          <c:showSerName val="0"/>
          <c:showPercent val="0"/>
          <c:showBubbleSize val="0"/>
        </c:dLbls>
        <c:gapWidth val="150"/>
        <c:axId val="1730530992"/>
        <c:axId val="1"/>
      </c:barChart>
      <c:catAx>
        <c:axId val="1730530992"/>
        <c:scaling>
          <c:orientation val="minMax"/>
        </c:scaling>
        <c:delete val="0"/>
        <c:axPos val="b"/>
        <c:title>
          <c:tx>
            <c:rich>
              <a:bodyPr/>
              <a:lstStyle/>
              <a:p>
                <a:pPr>
                  <a:defRPr sz="1000" b="0" i="0" u="none" strike="noStrike" baseline="0">
                    <a:solidFill>
                      <a:srgbClr val="333333"/>
                    </a:solidFill>
                    <a:latin typeface="Calibri"/>
                    <a:ea typeface="Calibri"/>
                    <a:cs typeface="Calibri"/>
                  </a:defRPr>
                </a:pPr>
                <a:r>
                  <a:rPr lang="en-US"/>
                  <a:t>Fiscal 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33"/>
                    </a:solidFill>
                    <a:latin typeface="Calibri"/>
                    <a:ea typeface="Calibri"/>
                    <a:cs typeface="Calibri"/>
                  </a:defRPr>
                </a:pPr>
                <a:r>
                  <a:rPr lang="en-US"/>
                  <a:t>Btu/Sq. Ft./HDD</a:t>
                </a:r>
              </a:p>
            </c:rich>
          </c:tx>
          <c:overlay val="0"/>
          <c:spPr>
            <a:noFill/>
            <a:ln w="25400">
              <a:noFill/>
            </a:ln>
          </c:spPr>
        </c:title>
        <c:numFmt formatCode="0.0" sourceLinked="1"/>
        <c:majorTickMark val="out"/>
        <c:minorTickMark val="none"/>
        <c:tickLblPos val="nextTo"/>
        <c:crossAx val="1730530992"/>
        <c:crosses val="autoZero"/>
        <c:crossBetween val="between"/>
      </c:valAx>
      <c:spPr>
        <a:noFill/>
        <a:ln w="25400">
          <a:noFill/>
        </a:ln>
      </c:spPr>
    </c:plotArea>
    <c:legend>
      <c:legendPos val="r"/>
      <c:layout>
        <c:manualLayout>
          <c:xMode val="edge"/>
          <c:yMode val="edge"/>
          <c:x val="8.0155151507922517E-2"/>
          <c:y val="0.18626325012935929"/>
          <c:w val="0.81605578059018258"/>
          <c:h val="0.11754476949911023"/>
        </c:manualLayout>
      </c:layout>
      <c:overlay val="0"/>
      <c:spPr>
        <a:noFill/>
        <a:ln w="25400">
          <a:noFill/>
        </a:ln>
      </c:spPr>
      <c:txPr>
        <a:bodyPr/>
        <a:lstStyle/>
        <a:p>
          <a:pPr>
            <a:defRPr sz="69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lineChart>
        <c:grouping val="standard"/>
        <c:varyColors val="0"/>
        <c:ser>
          <c:idx val="0"/>
          <c:order val="0"/>
          <c:tx>
            <c:strRef>
              <c:f>'Total Energy  adj sq ft'!$AD$2</c:f>
              <c:strCache>
                <c:ptCount val="1"/>
                <c:pt idx="0">
                  <c:v>Savings per sq ft per HDD vs 2004</c:v>
                </c:pt>
              </c:strCache>
            </c:strRef>
          </c:tx>
          <c:spPr>
            <a:ln w="28575" cap="rnd">
              <a:solidFill>
                <a:schemeClr val="accent1"/>
              </a:solidFill>
              <a:round/>
            </a:ln>
            <a:effectLst/>
          </c:spPr>
          <c:marker>
            <c:symbol val="none"/>
          </c:marker>
          <c:cat>
            <c:numRef>
              <c:f>'Total Energy  adj sq ft'!$A$3:$A$19</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'Total Energy  adj sq ft'!$AD$3:$AD$19</c:f>
              <c:numCache>
                <c:formatCode>0%</c:formatCode>
                <c:ptCount val="17"/>
                <c:pt idx="0">
                  <c:v>0</c:v>
                </c:pt>
                <c:pt idx="1">
                  <c:v>3.5975294909915474E-2</c:v>
                </c:pt>
                <c:pt idx="2">
                  <c:v>9.1663007284533748E-2</c:v>
                </c:pt>
                <c:pt idx="3">
                  <c:v>0.10398908788451684</c:v>
                </c:pt>
                <c:pt idx="4">
                  <c:v>0.1942305458395035</c:v>
                </c:pt>
                <c:pt idx="5">
                  <c:v>0.24880020563663263</c:v>
                </c:pt>
                <c:pt idx="6">
                  <c:v>0.22800818555419106</c:v>
                </c:pt>
                <c:pt idx="7">
                  <c:v>0.2321157711777419</c:v>
                </c:pt>
                <c:pt idx="8">
                  <c:v>9.4523141223520138E-2</c:v>
                </c:pt>
                <c:pt idx="9">
                  <c:v>0.24205846472026565</c:v>
                </c:pt>
                <c:pt idx="10">
                  <c:v>0.31932803114034353</c:v>
                </c:pt>
                <c:pt idx="11">
                  <c:v>0.30930425988047427</c:v>
                </c:pt>
                <c:pt idx="12">
                  <c:v>0.2248219873902062</c:v>
                </c:pt>
                <c:pt idx="13">
                  <c:v>0.26753684315471021</c:v>
                </c:pt>
                <c:pt idx="14">
                  <c:v>0.32857775343616025</c:v>
                </c:pt>
                <c:pt idx="15">
                  <c:v>0.34821389434549549</c:v>
                </c:pt>
                <c:pt idx="16">
                  <c:v>0.32184232984816763</c:v>
                </c:pt>
              </c:numCache>
            </c:numRef>
          </c:val>
          <c:smooth val="0"/>
          <c:extLst>
            <c:ext xmlns:c16="http://schemas.microsoft.com/office/drawing/2014/chart" uri="{C3380CC4-5D6E-409C-BE32-E72D297353CC}">
              <c16:uniqueId val="{00000000-678B-4C8D-A1D4-F186427DEC1D}"/>
            </c:ext>
          </c:extLst>
        </c:ser>
        <c:dLbls>
          <c:showLegendKey val="0"/>
          <c:showVal val="0"/>
          <c:showCatName val="0"/>
          <c:showSerName val="0"/>
          <c:showPercent val="0"/>
          <c:showBubbleSize val="0"/>
        </c:dLbls>
        <c:smooth val="0"/>
        <c:axId val="1730553872"/>
        <c:axId val="1"/>
      </c:lineChart>
      <c:catAx>
        <c:axId val="173055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73055387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Energy Use Intensity</a:t>
            </a:r>
          </a:p>
        </c:rich>
      </c:tx>
      <c:overlay val="0"/>
      <c:spPr>
        <a:noFill/>
        <a:ln w="25400">
          <a:noFill/>
        </a:ln>
      </c:spPr>
    </c:title>
    <c:autoTitleDeleted val="0"/>
    <c:plotArea>
      <c:layout/>
      <c:barChart>
        <c:barDir val="col"/>
        <c:grouping val="clustered"/>
        <c:varyColors val="0"/>
        <c:ser>
          <c:idx val="0"/>
          <c:order val="0"/>
          <c:tx>
            <c:v>Energy Use Intensity</c:v>
          </c:tx>
          <c:spPr>
            <a:solidFill>
              <a:schemeClr val="accent2">
                <a:lumMod val="75000"/>
              </a:schemeClr>
            </a:solidFill>
            <a:ln>
              <a:solidFill>
                <a:sysClr val="windowText" lastClr="000000"/>
              </a:solidFill>
            </a:ln>
            <a:effectLst/>
          </c:spPr>
          <c:invertIfNegative val="0"/>
          <c:dLbls>
            <c:spPr>
              <a:noFill/>
              <a:ln w="25400">
                <a:noFill/>
              </a:ln>
            </c:spPr>
            <c:txPr>
              <a:bodyPr wrap="square" lIns="38100" tIns="19050" rIns="38100" bIns="19050" anchor="ctr">
                <a:spAutoFit/>
              </a:bodyPr>
              <a:lstStyle/>
              <a:p>
                <a:pPr>
                  <a:defRPr sz="10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accent1"/>
                </a:solidFill>
                <a:prstDash val="sysDot"/>
              </a:ln>
              <a:effectLst/>
            </c:spPr>
            <c:trendlineType val="linear"/>
            <c:dispRSqr val="0"/>
            <c:dispEq val="0"/>
          </c:trendline>
          <c:cat>
            <c:numRef>
              <c:f>'Total Energy  adj sq ft'!$A$3:$A$19</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'Total Energy  adj sq ft'!$S$3:$S$19</c:f>
              <c:numCache>
                <c:formatCode>#,##0.00</c:formatCode>
                <c:ptCount val="17"/>
                <c:pt idx="0">
                  <c:v>307.21372480988816</c:v>
                </c:pt>
                <c:pt idx="1">
                  <c:v>286.61416284673794</c:v>
                </c:pt>
                <c:pt idx="2">
                  <c:v>266.53686716249888</c:v>
                </c:pt>
                <c:pt idx="3">
                  <c:v>269.04318408380419</c:v>
                </c:pt>
                <c:pt idx="4">
                  <c:v>259.19314552636797</c:v>
                </c:pt>
                <c:pt idx="5">
                  <c:v>251.72232556335973</c:v>
                </c:pt>
                <c:pt idx="6">
                  <c:v>237.45911613354809</c:v>
                </c:pt>
                <c:pt idx="7">
                  <c:v>246.86305538562272</c:v>
                </c:pt>
                <c:pt idx="8">
                  <c:v>230.51361856552282</c:v>
                </c:pt>
                <c:pt idx="9">
                  <c:v>237.28917359483833</c:v>
                </c:pt>
                <c:pt idx="10">
                  <c:v>247.48030308526751</c:v>
                </c:pt>
                <c:pt idx="11">
                  <c:v>225.21577321948078</c:v>
                </c:pt>
                <c:pt idx="12">
                  <c:v>201.96537907364296</c:v>
                </c:pt>
                <c:pt idx="13">
                  <c:v>200.45645581914269</c:v>
                </c:pt>
                <c:pt idx="14">
                  <c:v>211.78337976229344</c:v>
                </c:pt>
                <c:pt idx="15">
                  <c:v>217.24715332244111</c:v>
                </c:pt>
                <c:pt idx="16">
                  <c:v>206.19592006854802</c:v>
                </c:pt>
              </c:numCache>
            </c:numRef>
          </c:val>
          <c:extLst>
            <c:ext xmlns:c16="http://schemas.microsoft.com/office/drawing/2014/chart" uri="{C3380CC4-5D6E-409C-BE32-E72D297353CC}">
              <c16:uniqueId val="{00000001-F8A3-4E24-BC6A-314A28446953}"/>
            </c:ext>
          </c:extLst>
        </c:ser>
        <c:dLbls>
          <c:showLegendKey val="0"/>
          <c:showVal val="0"/>
          <c:showCatName val="0"/>
          <c:showSerName val="0"/>
          <c:showPercent val="0"/>
          <c:showBubbleSize val="0"/>
        </c:dLbls>
        <c:gapWidth val="150"/>
        <c:axId val="1730556784"/>
        <c:axId val="1"/>
      </c:barChart>
      <c:catAx>
        <c:axId val="1730556784"/>
        <c:scaling>
          <c:orientation val="minMax"/>
        </c:scaling>
        <c:delete val="0"/>
        <c:axPos val="b"/>
        <c:title>
          <c:tx>
            <c:rich>
              <a:bodyPr/>
              <a:lstStyle/>
              <a:p>
                <a:pPr>
                  <a:defRPr sz="1000" b="0" i="0" u="none" strike="noStrike" baseline="0">
                    <a:solidFill>
                      <a:srgbClr val="333333"/>
                    </a:solidFill>
                    <a:latin typeface="Calibri"/>
                    <a:ea typeface="Calibri"/>
                    <a:cs typeface="Calibri"/>
                  </a:defRPr>
                </a:pPr>
                <a:r>
                  <a:rPr lang="en-US"/>
                  <a:t>Fiscal 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33"/>
                    </a:solidFill>
                    <a:latin typeface="Calibri"/>
                    <a:ea typeface="Calibri"/>
                    <a:cs typeface="Calibri"/>
                  </a:defRPr>
                </a:pPr>
                <a:r>
                  <a:rPr lang="en-US"/>
                  <a:t>Btu/Sq. Ft</a:t>
                </a:r>
              </a:p>
            </c:rich>
          </c:tx>
          <c:overlay val="0"/>
          <c:spPr>
            <a:noFill/>
            <a:ln w="25400">
              <a:noFill/>
            </a:ln>
          </c:spPr>
        </c:title>
        <c:numFmt formatCode="#,##0.00" sourceLinked="1"/>
        <c:majorTickMark val="out"/>
        <c:minorTickMark val="none"/>
        <c:tickLblPos val="nextTo"/>
        <c:crossAx val="17305567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'Carbon Calculator'!$H$2</c:f>
              <c:strCache>
                <c:ptCount val="1"/>
                <c:pt idx="0">
                  <c:v>Total Energy Use MMBtu</c:v>
                </c:pt>
              </c:strCache>
            </c:strRef>
          </c:tx>
          <c:spPr>
            <a:solidFill>
              <a:srgbClr val="4F81BD"/>
            </a:solidFill>
            <a:ln w="25400">
              <a:noFill/>
            </a:ln>
          </c:spPr>
          <c:invertIfNegative val="0"/>
          <c:cat>
            <c:numRef>
              <c:f>'Carbon Calculator'!$A$3:$A$15</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'Carbon Calculator'!$H$3:$H$15</c:f>
              <c:numCache>
                <c:formatCode>General</c:formatCode>
                <c:ptCount val="13"/>
                <c:pt idx="0">
                  <c:v>4066641.0247141258</c:v>
                </c:pt>
                <c:pt idx="1">
                  <c:v>3787876.7284669457</c:v>
                </c:pt>
                <c:pt idx="2">
                  <c:v>3589572.3846753389</c:v>
                </c:pt>
                <c:pt idx="3">
                  <c:v>3717128.6100580376</c:v>
                </c:pt>
                <c:pt idx="4">
                  <c:v>3763446.6420744718</c:v>
                </c:pt>
                <c:pt idx="5">
                  <c:v>3645891.3603464989</c:v>
                </c:pt>
                <c:pt idx="6">
                  <c:v>3437176.3542454233</c:v>
                </c:pt>
                <c:pt idx="7">
                  <c:v>3572086.3206208642</c:v>
                </c:pt>
                <c:pt idx="8">
                  <c:v>3333289.3007201981</c:v>
                </c:pt>
                <c:pt idx="9">
                  <c:v>3433965.6303736712</c:v>
                </c:pt>
                <c:pt idx="10">
                  <c:v>3610731.2243522517</c:v>
                </c:pt>
                <c:pt idx="11">
                  <c:v>3357737.1341650132</c:v>
                </c:pt>
                <c:pt idx="12">
                  <c:v>3012539.6964982511</c:v>
                </c:pt>
              </c:numCache>
            </c:numRef>
          </c:val>
          <c:extLst>
            <c:ext xmlns:c16="http://schemas.microsoft.com/office/drawing/2014/chart" uri="{C3380CC4-5D6E-409C-BE32-E72D297353CC}">
              <c16:uniqueId val="{00000000-A137-4C6C-B3FF-2219A2E3AA75}"/>
            </c:ext>
          </c:extLst>
        </c:ser>
        <c:dLbls>
          <c:showLegendKey val="0"/>
          <c:showVal val="0"/>
          <c:showCatName val="0"/>
          <c:showSerName val="0"/>
          <c:showPercent val="0"/>
          <c:showBubbleSize val="0"/>
        </c:dLbls>
        <c:gapWidth val="150"/>
        <c:overlap val="100"/>
        <c:axId val="1730540560"/>
        <c:axId val="1"/>
      </c:barChart>
      <c:lineChart>
        <c:grouping val="standard"/>
        <c:varyColors val="0"/>
        <c:ser>
          <c:idx val="1"/>
          <c:order val="1"/>
          <c:tx>
            <c:strRef>
              <c:f>'Carbon Calculator'!$J$2</c:f>
              <c:strCache>
                <c:ptCount val="1"/>
                <c:pt idx="0">
                  <c:v>Cooling degree days^</c:v>
                </c:pt>
              </c:strCache>
            </c:strRef>
          </c:tx>
          <c:spPr>
            <a:ln w="28575" cap="rnd">
              <a:solidFill>
                <a:schemeClr val="accent2"/>
              </a:solidFill>
              <a:round/>
            </a:ln>
            <a:effectLst/>
          </c:spPr>
          <c:marker>
            <c:symbol val="none"/>
          </c:marker>
          <c:cat>
            <c:numRef>
              <c:f>'Carbon Calculator'!$A$3:$A$15</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'Carbon Calculator'!$J$3:$J$15</c:f>
              <c:numCache>
                <c:formatCode>General</c:formatCode>
                <c:ptCount val="13"/>
                <c:pt idx="0">
                  <c:v>946.69999999999993</c:v>
                </c:pt>
                <c:pt idx="1">
                  <c:v>959</c:v>
                </c:pt>
                <c:pt idx="2">
                  <c:v>1251.8</c:v>
                </c:pt>
                <c:pt idx="3">
                  <c:v>1155.9000000000001</c:v>
                </c:pt>
                <c:pt idx="4">
                  <c:v>1085.5999999999999</c:v>
                </c:pt>
                <c:pt idx="5">
                  <c:v>910.19999999999993</c:v>
                </c:pt>
                <c:pt idx="6">
                  <c:v>825.69999999999993</c:v>
                </c:pt>
                <c:pt idx="7">
                  <c:v>1200</c:v>
                </c:pt>
                <c:pt idx="8">
                  <c:v>1346.3</c:v>
                </c:pt>
                <c:pt idx="9">
                  <c:v>1256.6999999999998</c:v>
                </c:pt>
                <c:pt idx="10">
                  <c:v>1149.5</c:v>
                </c:pt>
                <c:pt idx="11">
                  <c:v>958</c:v>
                </c:pt>
                <c:pt idx="12">
                  <c:v>1258</c:v>
                </c:pt>
              </c:numCache>
            </c:numRef>
          </c:val>
          <c:smooth val="0"/>
          <c:extLst>
            <c:ext xmlns:c16="http://schemas.microsoft.com/office/drawing/2014/chart" uri="{C3380CC4-5D6E-409C-BE32-E72D297353CC}">
              <c16:uniqueId val="{00000001-A137-4C6C-B3FF-2219A2E3AA75}"/>
            </c:ext>
          </c:extLst>
        </c:ser>
        <c:ser>
          <c:idx val="2"/>
          <c:order val="2"/>
          <c:tx>
            <c:strRef>
              <c:f>'Carbon Calculator'!$K$2</c:f>
              <c:strCache>
                <c:ptCount val="1"/>
                <c:pt idx="0">
                  <c:v>Heating degree days^</c:v>
                </c:pt>
              </c:strCache>
            </c:strRef>
          </c:tx>
          <c:spPr>
            <a:ln w="28575" cap="rnd">
              <a:solidFill>
                <a:schemeClr val="accent3"/>
              </a:solidFill>
              <a:round/>
            </a:ln>
            <a:effectLst/>
          </c:spPr>
          <c:marker>
            <c:symbol val="none"/>
          </c:marker>
          <c:cat>
            <c:numRef>
              <c:f>'Carbon Calculator'!$A$3:$A$15</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'Carbon Calculator'!$K$3:$K$15</c:f>
              <c:numCache>
                <c:formatCode>General</c:formatCode>
                <c:ptCount val="13"/>
                <c:pt idx="0">
                  <c:v>5754.2</c:v>
                </c:pt>
                <c:pt idx="1">
                  <c:v>5568.6999999999989</c:v>
                </c:pt>
                <c:pt idx="2">
                  <c:v>5496.0999999999995</c:v>
                </c:pt>
                <c:pt idx="3">
                  <c:v>5624.1</c:v>
                </c:pt>
                <c:pt idx="4">
                  <c:v>6025.0000000000009</c:v>
                </c:pt>
                <c:pt idx="5">
                  <c:v>6276.4</c:v>
                </c:pt>
                <c:pt idx="6">
                  <c:v>5761.3</c:v>
                </c:pt>
                <c:pt idx="7">
                  <c:v>6021.5</c:v>
                </c:pt>
                <c:pt idx="8">
                  <c:v>4768.3</c:v>
                </c:pt>
                <c:pt idx="9">
                  <c:v>5863.9000000000005</c:v>
                </c:pt>
                <c:pt idx="10">
                  <c:v>6810</c:v>
                </c:pt>
                <c:pt idx="11">
                  <c:v>6107.4</c:v>
                </c:pt>
                <c:pt idx="12">
                  <c:v>4880</c:v>
                </c:pt>
              </c:numCache>
            </c:numRef>
          </c:val>
          <c:smooth val="0"/>
          <c:extLst>
            <c:ext xmlns:c16="http://schemas.microsoft.com/office/drawing/2014/chart" uri="{C3380CC4-5D6E-409C-BE32-E72D297353CC}">
              <c16:uniqueId val="{00000002-A137-4C6C-B3FF-2219A2E3AA75}"/>
            </c:ext>
          </c:extLst>
        </c:ser>
        <c:dLbls>
          <c:showLegendKey val="0"/>
          <c:showVal val="0"/>
          <c:showCatName val="0"/>
          <c:showSerName val="0"/>
          <c:showPercent val="0"/>
          <c:showBubbleSize val="0"/>
        </c:dLbls>
        <c:marker val="1"/>
        <c:smooth val="0"/>
        <c:axId val="3"/>
        <c:axId val="4"/>
      </c:lineChart>
      <c:catAx>
        <c:axId val="173054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05405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
        <c:crosses val="max"/>
        <c:crossBetween val="between"/>
      </c:valAx>
      <c:spPr>
        <a:noFill/>
        <a:ln w="25400">
          <a:noFill/>
        </a:ln>
      </c:spPr>
    </c:plotArea>
    <c:legend>
      <c:legendPos val="r"/>
      <c:layout>
        <c:manualLayout>
          <c:xMode val="edge"/>
          <c:yMode val="edge"/>
          <c:x val="0.60640345340782476"/>
          <c:y val="0.31601038966450395"/>
          <c:w val="0.38180958177529706"/>
          <c:h val="0.26800881148761729"/>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Campus Water Use, thousands</a:t>
            </a:r>
            <a:r>
              <a:rPr lang="en-US" baseline="0"/>
              <a:t> of gallons</a:t>
            </a:r>
            <a:endParaRPr lang="en-US"/>
          </a:p>
        </c:rich>
      </c:tx>
      <c:overlay val="0"/>
      <c:spPr>
        <a:noFill/>
        <a:ln w="25400">
          <a:noFill/>
        </a:ln>
      </c:spPr>
    </c:title>
    <c:autoTitleDeleted val="0"/>
    <c:plotArea>
      <c:layout/>
      <c:barChart>
        <c:barDir val="col"/>
        <c:grouping val="clustered"/>
        <c:varyColors val="0"/>
        <c:ser>
          <c:idx val="0"/>
          <c:order val="0"/>
          <c:tx>
            <c:strRef>
              <c:f>'Total Water'!$A$13</c:f>
              <c:strCache>
                <c:ptCount val="1"/>
                <c:pt idx="0">
                  <c:v>East</c:v>
                </c:pt>
              </c:strCache>
            </c:strRef>
          </c:tx>
          <c:spPr>
            <a:solidFill>
              <a:srgbClr val="4F81BD"/>
            </a:solidFill>
            <a:ln w="25400">
              <a:noFill/>
            </a:ln>
          </c:spPr>
          <c:invertIfNegative val="0"/>
          <c:cat>
            <c:strRef>
              <c:f>'Total Water'!$B$12:$F$12</c:f>
              <c:strCache>
                <c:ptCount val="5"/>
                <c:pt idx="0">
                  <c:v>FY12</c:v>
                </c:pt>
                <c:pt idx="1">
                  <c:v>FY13</c:v>
                </c:pt>
                <c:pt idx="2">
                  <c:v>FY14</c:v>
                </c:pt>
                <c:pt idx="3">
                  <c:v>FY15</c:v>
                </c:pt>
                <c:pt idx="4">
                  <c:v>FY16</c:v>
                </c:pt>
              </c:strCache>
            </c:strRef>
          </c:cat>
          <c:val>
            <c:numRef>
              <c:f>'Total Water'!$B$13:$F$13</c:f>
              <c:numCache>
                <c:formatCode>General</c:formatCode>
                <c:ptCount val="5"/>
                <c:pt idx="0">
                  <c:v>165916.12400000001</c:v>
                </c:pt>
                <c:pt idx="1">
                  <c:v>280537.92359999998</c:v>
                </c:pt>
                <c:pt idx="2">
                  <c:v>477086.21840000001</c:v>
                </c:pt>
                <c:pt idx="3">
                  <c:v>141860.818</c:v>
                </c:pt>
              </c:numCache>
            </c:numRef>
          </c:val>
          <c:extLst>
            <c:ext xmlns:c16="http://schemas.microsoft.com/office/drawing/2014/chart" uri="{C3380CC4-5D6E-409C-BE32-E72D297353CC}">
              <c16:uniqueId val="{00000000-0E47-40C3-8057-EEEDE854F4A2}"/>
            </c:ext>
          </c:extLst>
        </c:ser>
        <c:ser>
          <c:idx val="1"/>
          <c:order val="1"/>
          <c:tx>
            <c:strRef>
              <c:f>'Total Water'!$A$14</c:f>
              <c:strCache>
                <c:ptCount val="1"/>
                <c:pt idx="0">
                  <c:v>West</c:v>
                </c:pt>
              </c:strCache>
            </c:strRef>
          </c:tx>
          <c:spPr>
            <a:solidFill>
              <a:srgbClr val="C0504D"/>
            </a:solidFill>
            <a:ln w="25400">
              <a:noFill/>
            </a:ln>
          </c:spPr>
          <c:invertIfNegative val="0"/>
          <c:cat>
            <c:strRef>
              <c:f>'Total Water'!$B$12:$F$12</c:f>
              <c:strCache>
                <c:ptCount val="5"/>
                <c:pt idx="0">
                  <c:v>FY12</c:v>
                </c:pt>
                <c:pt idx="1">
                  <c:v>FY13</c:v>
                </c:pt>
                <c:pt idx="2">
                  <c:v>FY14</c:v>
                </c:pt>
                <c:pt idx="3">
                  <c:v>FY15</c:v>
                </c:pt>
                <c:pt idx="4">
                  <c:v>FY16</c:v>
                </c:pt>
              </c:strCache>
            </c:strRef>
          </c:cat>
          <c:val>
            <c:numRef>
              <c:f>'Total Water'!$B$14:$F$14</c:f>
              <c:numCache>
                <c:formatCode>General</c:formatCode>
                <c:ptCount val="5"/>
                <c:pt idx="0">
                  <c:v>439048.54840000003</c:v>
                </c:pt>
                <c:pt idx="1">
                  <c:v>415645.57319999998</c:v>
                </c:pt>
                <c:pt idx="2">
                  <c:v>376797.66960000002</c:v>
                </c:pt>
                <c:pt idx="3">
                  <c:v>362411.38559999998</c:v>
                </c:pt>
              </c:numCache>
            </c:numRef>
          </c:val>
          <c:extLst>
            <c:ext xmlns:c16="http://schemas.microsoft.com/office/drawing/2014/chart" uri="{C3380CC4-5D6E-409C-BE32-E72D297353CC}">
              <c16:uniqueId val="{00000001-0E47-40C3-8057-EEEDE854F4A2}"/>
            </c:ext>
          </c:extLst>
        </c:ser>
        <c:ser>
          <c:idx val="2"/>
          <c:order val="2"/>
          <c:tx>
            <c:strRef>
              <c:f>'Total Water'!$A$15</c:f>
              <c:strCache>
                <c:ptCount val="1"/>
                <c:pt idx="0">
                  <c:v>Total</c:v>
                </c:pt>
              </c:strCache>
            </c:strRef>
          </c:tx>
          <c:spPr>
            <a:solidFill>
              <a:srgbClr val="9BBB59"/>
            </a:solidFill>
            <a:ln w="25400">
              <a:noFill/>
            </a:ln>
          </c:spPr>
          <c:invertIfNegative val="0"/>
          <c:cat>
            <c:strRef>
              <c:f>'Total Water'!$B$12:$F$12</c:f>
              <c:strCache>
                <c:ptCount val="5"/>
                <c:pt idx="0">
                  <c:v>FY12</c:v>
                </c:pt>
                <c:pt idx="1">
                  <c:v>FY13</c:v>
                </c:pt>
                <c:pt idx="2">
                  <c:v>FY14</c:v>
                </c:pt>
                <c:pt idx="3">
                  <c:v>FY15</c:v>
                </c:pt>
                <c:pt idx="4">
                  <c:v>FY16</c:v>
                </c:pt>
              </c:strCache>
            </c:strRef>
          </c:cat>
          <c:val>
            <c:numRef>
              <c:f>'Total Water'!$B$15:$F$15</c:f>
              <c:numCache>
                <c:formatCode>General</c:formatCode>
                <c:ptCount val="5"/>
                <c:pt idx="0">
                  <c:v>604964.67240000004</c:v>
                </c:pt>
                <c:pt idx="1">
                  <c:v>696183.49679999996</c:v>
                </c:pt>
                <c:pt idx="2">
                  <c:v>853883.88800000004</c:v>
                </c:pt>
                <c:pt idx="3">
                  <c:v>504272.20360000001</c:v>
                </c:pt>
                <c:pt idx="4">
                  <c:v>749797</c:v>
                </c:pt>
              </c:numCache>
            </c:numRef>
          </c:val>
          <c:extLst>
            <c:ext xmlns:c16="http://schemas.microsoft.com/office/drawing/2014/chart" uri="{C3380CC4-5D6E-409C-BE32-E72D297353CC}">
              <c16:uniqueId val="{00000002-0E47-40C3-8057-EEEDE854F4A2}"/>
            </c:ext>
          </c:extLst>
        </c:ser>
        <c:dLbls>
          <c:showLegendKey val="0"/>
          <c:showVal val="0"/>
          <c:showCatName val="0"/>
          <c:showSerName val="0"/>
          <c:showPercent val="0"/>
          <c:showBubbleSize val="0"/>
        </c:dLbls>
        <c:gapWidth val="219"/>
        <c:overlap val="-27"/>
        <c:axId val="1730563024"/>
        <c:axId val="1"/>
      </c:barChart>
      <c:catAx>
        <c:axId val="173056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0563024"/>
        <c:crosses val="autoZero"/>
        <c:crossBetween val="between"/>
      </c:valAx>
      <c:spPr>
        <a:noFill/>
        <a:ln w="25400">
          <a:noFill/>
        </a:ln>
      </c:spPr>
    </c:plotArea>
    <c:legend>
      <c:legendPos val="r"/>
      <c:layout>
        <c:manualLayout>
          <c:xMode val="edge"/>
          <c:yMode val="edge"/>
          <c:x val="0.24734806768250414"/>
          <c:y val="0.73761185441026789"/>
          <c:w val="0.52129270178248188"/>
          <c:h val="0.15366913633547247"/>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299685164939123"/>
          <c:y val="0.31476323119777272"/>
          <c:w val="0.84848624343408663"/>
          <c:h val="0.55988857938718661"/>
        </c:manualLayout>
      </c:layout>
      <c:barChart>
        <c:barDir val="col"/>
        <c:grouping val="stacked"/>
        <c:varyColors val="0"/>
        <c:ser>
          <c:idx val="1"/>
          <c:order val="0"/>
          <c:tx>
            <c:strRef>
              <c:f>'Total Energy  (NE IL HDD CDD)'!$D$2</c:f>
              <c:strCache>
                <c:ptCount val="1"/>
                <c:pt idx="0">
                  <c:v>Total electricity, kWh</c:v>
                </c:pt>
              </c:strCache>
            </c:strRef>
          </c:tx>
          <c:spPr>
            <a:solidFill>
              <a:srgbClr val="993366"/>
            </a:solidFill>
            <a:ln w="12700">
              <a:solidFill>
                <a:srgbClr val="000000"/>
              </a:solidFill>
              <a:prstDash val="solid"/>
            </a:ln>
          </c:spPr>
          <c:invertIfNegative val="0"/>
          <c:cat>
            <c:numRef>
              <c:f>'Total Energy  (NE IL HDD CDD)'!$A$3:$A$10</c:f>
              <c:numCache>
                <c:formatCode>General</c:formatCode>
                <c:ptCount val="8"/>
                <c:pt idx="0">
                  <c:v>2004</c:v>
                </c:pt>
                <c:pt idx="1">
                  <c:v>2005</c:v>
                </c:pt>
                <c:pt idx="2">
                  <c:v>2006</c:v>
                </c:pt>
                <c:pt idx="3">
                  <c:v>2007</c:v>
                </c:pt>
                <c:pt idx="4">
                  <c:v>2008</c:v>
                </c:pt>
                <c:pt idx="5">
                  <c:v>2009</c:v>
                </c:pt>
                <c:pt idx="6">
                  <c:v>2010</c:v>
                </c:pt>
                <c:pt idx="7">
                  <c:v>2011</c:v>
                </c:pt>
              </c:numCache>
            </c:numRef>
          </c:cat>
          <c:val>
            <c:numRef>
              <c:f>'Total Energy  (NE IL HDD CDD)'!$D$3:$D$10</c:f>
              <c:numCache>
                <c:formatCode>#,##0</c:formatCode>
                <c:ptCount val="8"/>
                <c:pt idx="0">
                  <c:v>328461699</c:v>
                </c:pt>
                <c:pt idx="1">
                  <c:v>319542583</c:v>
                </c:pt>
                <c:pt idx="2">
                  <c:v>311455198</c:v>
                </c:pt>
                <c:pt idx="3">
                  <c:v>340799207</c:v>
                </c:pt>
                <c:pt idx="4">
                  <c:v>327346629</c:v>
                </c:pt>
                <c:pt idx="5">
                  <c:v>337824645</c:v>
                </c:pt>
                <c:pt idx="6">
                  <c:v>316020333</c:v>
                </c:pt>
                <c:pt idx="7">
                  <c:v>315049533</c:v>
                </c:pt>
              </c:numCache>
            </c:numRef>
          </c:val>
          <c:extLst>
            <c:ext xmlns:c16="http://schemas.microsoft.com/office/drawing/2014/chart" uri="{C3380CC4-5D6E-409C-BE32-E72D297353CC}">
              <c16:uniqueId val="{00000000-C013-47C9-8E4F-5D11292FD691}"/>
            </c:ext>
          </c:extLst>
        </c:ser>
        <c:dLbls>
          <c:showLegendKey val="0"/>
          <c:showVal val="0"/>
          <c:showCatName val="0"/>
          <c:showSerName val="0"/>
          <c:showPercent val="0"/>
          <c:showBubbleSize val="0"/>
        </c:dLbls>
        <c:gapWidth val="150"/>
        <c:overlap val="100"/>
        <c:axId val="1730543472"/>
        <c:axId val="1"/>
      </c:barChart>
      <c:catAx>
        <c:axId val="1730543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0543472"/>
        <c:crosses val="autoZero"/>
        <c:crossBetween val="between"/>
        <c:dispUnits>
          <c:builtInUnit val="millions"/>
          <c:dispUnitsLbl>
            <c:layout>
              <c:manualLayout>
                <c:xMode val="edge"/>
                <c:yMode val="edge"/>
                <c:x val="6.2009792635569713E-4"/>
                <c:y val="0.49210770659238628"/>
              </c:manualLayout>
            </c:layout>
            <c:tx>
              <c:rich>
                <a:bodyPr rot="-5400000" vert="horz"/>
                <a:lstStyle/>
                <a:p>
                  <a:pPr algn="ctr">
                    <a:defRPr sz="800" b="1" i="0" u="none" strike="noStrike" baseline="0">
                      <a:solidFill>
                        <a:srgbClr val="000000"/>
                      </a:solidFill>
                      <a:latin typeface="Arial"/>
                      <a:ea typeface="Arial"/>
                      <a:cs typeface="Arial"/>
                    </a:defRPr>
                  </a:pPr>
                  <a:r>
                    <a:rPr lang="en-US"/>
                    <a:t>Million 
</a:t>
                  </a:r>
                </a:p>
              </c:rich>
            </c:tx>
            <c:spPr>
              <a:noFill/>
              <a:ln w="25400">
                <a:noFill/>
              </a:ln>
            </c:spPr>
          </c:dispUnitsLbl>
        </c:dispUnits>
      </c:valAx>
      <c:spPr>
        <a:solidFill>
          <a:srgbClr val="C0C0C0"/>
        </a:solidFill>
        <a:ln w="12700">
          <a:solidFill>
            <a:srgbClr val="808080"/>
          </a:solidFill>
          <a:prstDash val="solid"/>
        </a:ln>
      </c:spPr>
    </c:plotArea>
    <c:legend>
      <c:legendPos val="r"/>
      <c:layout>
        <c:manualLayout>
          <c:xMode val="edge"/>
          <c:yMode val="edge"/>
          <c:x val="0.62126173566693554"/>
          <c:y val="0.52400176219232586"/>
          <c:w val="0.35872855059477893"/>
          <c:h val="6.0887528705446309E-2"/>
        </c:manualLayout>
      </c:layout>
      <c:overlay val="0"/>
      <c:spPr>
        <a:solidFill>
          <a:srgbClr val="FFFFFF"/>
        </a:solidFill>
        <a:ln w="3175">
          <a:solidFill>
            <a:srgbClr val="000000"/>
          </a:solidFill>
          <a:prstDash val="solid"/>
        </a:ln>
      </c:spPr>
      <c:txPr>
        <a:bodyPr/>
        <a:lstStyle/>
        <a:p>
          <a:pPr>
            <a:defRPr sz="5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18</xdr:col>
      <xdr:colOff>554038</xdr:colOff>
      <xdr:row>25</xdr:row>
      <xdr:rowOff>133350</xdr:rowOff>
    </xdr:from>
    <xdr:to>
      <xdr:col>24</xdr:col>
      <xdr:colOff>360363</xdr:colOff>
      <xdr:row>44</xdr:row>
      <xdr:rowOff>126999</xdr:rowOff>
    </xdr:to>
    <xdr:graphicFrame macro="">
      <xdr:nvGraphicFramePr>
        <xdr:cNvPr id="600445" name="Chart 3">
          <a:extLst>
            <a:ext uri="{FF2B5EF4-FFF2-40B4-BE49-F238E27FC236}">
              <a16:creationId xmlns:a16="http://schemas.microsoft.com/office/drawing/2014/main" id="{52D65963-F7AA-44EB-A06E-DC474087D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288925</xdr:colOff>
      <xdr:row>25</xdr:row>
      <xdr:rowOff>31750</xdr:rowOff>
    </xdr:from>
    <xdr:to>
      <xdr:col>33</xdr:col>
      <xdr:colOff>146050</xdr:colOff>
      <xdr:row>44</xdr:row>
      <xdr:rowOff>31749</xdr:rowOff>
    </xdr:to>
    <xdr:graphicFrame macro="">
      <xdr:nvGraphicFramePr>
        <xdr:cNvPr id="600446" name="Chart 3">
          <a:extLst>
            <a:ext uri="{FF2B5EF4-FFF2-40B4-BE49-F238E27FC236}">
              <a16:creationId xmlns:a16="http://schemas.microsoft.com/office/drawing/2014/main" id="{99D5D802-7F31-4820-8539-1F15B0185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14284</xdr:colOff>
      <xdr:row>28</xdr:row>
      <xdr:rowOff>14285</xdr:rowOff>
    </xdr:from>
    <xdr:to>
      <xdr:col>17</xdr:col>
      <xdr:colOff>611187</xdr:colOff>
      <xdr:row>49</xdr:row>
      <xdr:rowOff>142874</xdr:rowOff>
    </xdr:to>
    <xdr:graphicFrame macro="">
      <xdr:nvGraphicFramePr>
        <xdr:cNvPr id="600447" name="Chart 2">
          <a:extLst>
            <a:ext uri="{FF2B5EF4-FFF2-40B4-BE49-F238E27FC236}">
              <a16:creationId xmlns:a16="http://schemas.microsoft.com/office/drawing/2014/main" id="{9EABA488-1BE6-482D-8646-887DEFB99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109537</xdr:colOff>
      <xdr:row>52</xdr:row>
      <xdr:rowOff>161925</xdr:rowOff>
    </xdr:from>
    <xdr:to>
      <xdr:col>26</xdr:col>
      <xdr:colOff>200024</xdr:colOff>
      <xdr:row>71</xdr:row>
      <xdr:rowOff>174625</xdr:rowOff>
    </xdr:to>
    <xdr:graphicFrame macro="">
      <xdr:nvGraphicFramePr>
        <xdr:cNvPr id="600448" name="Chart 1">
          <a:extLst>
            <a:ext uri="{FF2B5EF4-FFF2-40B4-BE49-F238E27FC236}">
              <a16:creationId xmlns:a16="http://schemas.microsoft.com/office/drawing/2014/main" id="{3B4E08AB-0A05-44C6-B7C5-CFFB38F97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515937</xdr:colOff>
      <xdr:row>24</xdr:row>
      <xdr:rowOff>82550</xdr:rowOff>
    </xdr:from>
    <xdr:to>
      <xdr:col>38</xdr:col>
      <xdr:colOff>592137</xdr:colOff>
      <xdr:row>46</xdr:row>
      <xdr:rowOff>1587</xdr:rowOff>
    </xdr:to>
    <xdr:graphicFrame macro="">
      <xdr:nvGraphicFramePr>
        <xdr:cNvPr id="600449" name="Chart 1">
          <a:extLst>
            <a:ext uri="{FF2B5EF4-FFF2-40B4-BE49-F238E27FC236}">
              <a16:creationId xmlns:a16="http://schemas.microsoft.com/office/drawing/2014/main" id="{B2C8DCCF-C380-4488-A274-23346ACCD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357187</xdr:colOff>
      <xdr:row>53</xdr:row>
      <xdr:rowOff>25401</xdr:rowOff>
    </xdr:from>
    <xdr:to>
      <xdr:col>11</xdr:col>
      <xdr:colOff>241300</xdr:colOff>
      <xdr:row>72</xdr:row>
      <xdr:rowOff>93663</xdr:rowOff>
    </xdr:to>
    <xdr:graphicFrame macro="">
      <xdr:nvGraphicFramePr>
        <xdr:cNvPr id="600450" name="Chart 1">
          <a:extLst>
            <a:ext uri="{FF2B5EF4-FFF2-40B4-BE49-F238E27FC236}">
              <a16:creationId xmlns:a16="http://schemas.microsoft.com/office/drawing/2014/main" id="{D8293EDF-18EA-4829-93DB-AB7A5833F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0.71689</cdr:x>
      <cdr:y>0.70434</cdr:y>
    </cdr:from>
    <cdr:to>
      <cdr:x>0.99435</cdr:x>
      <cdr:y>0.98906</cdr:y>
    </cdr:to>
    <cdr:sp macro="" textlink="">
      <cdr:nvSpPr>
        <cdr:cNvPr id="2" name="TextBox 1"/>
        <cdr:cNvSpPr txBox="1"/>
      </cdr:nvSpPr>
      <cdr:spPr>
        <a:xfrm xmlns:a="http://schemas.openxmlformats.org/drawingml/2006/main">
          <a:off x="5803900" y="2253223"/>
          <a:ext cx="2169575" cy="8132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1100"/>
            </a:lnSpc>
          </a:pPr>
          <a:r>
            <a:rPr lang="en-US" sz="1000"/>
            <a:t>Sources:</a:t>
          </a:r>
        </a:p>
        <a:p xmlns:a="http://schemas.openxmlformats.org/drawingml/2006/main">
          <a:pPr>
            <a:lnSpc>
              <a:spcPts val="1100"/>
            </a:lnSpc>
          </a:pPr>
          <a:r>
            <a:rPr lang="en-US" sz="1000"/>
            <a:t>NOAA</a:t>
          </a:r>
        </a:p>
        <a:p xmlns:a="http://schemas.openxmlformats.org/drawingml/2006/main">
          <a:pPr>
            <a:lnSpc>
              <a:spcPts val="1100"/>
            </a:lnSpc>
          </a:pPr>
          <a:r>
            <a:rPr lang="en-US" sz="1000"/>
            <a:t>UIC Utilities Dept.</a:t>
          </a:r>
        </a:p>
        <a:p xmlns:a="http://schemas.openxmlformats.org/drawingml/2006/main">
          <a:r>
            <a:rPr lang="en-US" sz="1000"/>
            <a:t>UIC Capital Planning &amp; Project Management</a:t>
          </a:r>
        </a:p>
        <a:p xmlns:a="http://schemas.openxmlformats.org/drawingml/2006/main">
          <a:pPr>
            <a:lnSpc>
              <a:spcPts val="1000"/>
            </a:lnSpc>
          </a:pPr>
          <a:endParaRPr lang="en-US" sz="10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261938</xdr:colOff>
      <xdr:row>16</xdr:row>
      <xdr:rowOff>28575</xdr:rowOff>
    </xdr:from>
    <xdr:to>
      <xdr:col>8</xdr:col>
      <xdr:colOff>419100</xdr:colOff>
      <xdr:row>33</xdr:row>
      <xdr:rowOff>76200</xdr:rowOff>
    </xdr:to>
    <xdr:graphicFrame macro="">
      <xdr:nvGraphicFramePr>
        <xdr:cNvPr id="1424403" name="Chart 1">
          <a:extLst>
            <a:ext uri="{FF2B5EF4-FFF2-40B4-BE49-F238E27FC236}">
              <a16:creationId xmlns:a16="http://schemas.microsoft.com/office/drawing/2014/main" id="{B2C58EBC-5E5E-479C-8EE9-4B845287E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180975</xdr:colOff>
      <xdr:row>0</xdr:row>
      <xdr:rowOff>128588</xdr:rowOff>
    </xdr:from>
    <xdr:to>
      <xdr:col>16</xdr:col>
      <xdr:colOff>423863</xdr:colOff>
      <xdr:row>15</xdr:row>
      <xdr:rowOff>47625</xdr:rowOff>
    </xdr:to>
    <xdr:graphicFrame macro="">
      <xdr:nvGraphicFramePr>
        <xdr:cNvPr id="994346" name="Chart 1">
          <a:extLst>
            <a:ext uri="{FF2B5EF4-FFF2-40B4-BE49-F238E27FC236}">
              <a16:creationId xmlns:a16="http://schemas.microsoft.com/office/drawing/2014/main" id="{BFC19D8D-0C6A-4B9F-B4CC-14D36FA33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119063</xdr:colOff>
      <xdr:row>17</xdr:row>
      <xdr:rowOff>4763</xdr:rowOff>
    </xdr:from>
    <xdr:to>
      <xdr:col>19</xdr:col>
      <xdr:colOff>333375</xdr:colOff>
      <xdr:row>35</xdr:row>
      <xdr:rowOff>133350</xdr:rowOff>
    </xdr:to>
    <xdr:graphicFrame macro="">
      <xdr:nvGraphicFramePr>
        <xdr:cNvPr id="57787" name="Chart 3">
          <a:extLst>
            <a:ext uri="{FF2B5EF4-FFF2-40B4-BE49-F238E27FC236}">
              <a16:creationId xmlns:a16="http://schemas.microsoft.com/office/drawing/2014/main" id="{0D4A7CA5-D8D7-4D38-A1CF-23C5969D9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381000</xdr:colOff>
      <xdr:row>17</xdr:row>
      <xdr:rowOff>33338</xdr:rowOff>
    </xdr:from>
    <xdr:to>
      <xdr:col>25</xdr:col>
      <xdr:colOff>342900</xdr:colOff>
      <xdr:row>36</xdr:row>
      <xdr:rowOff>28575</xdr:rowOff>
    </xdr:to>
    <xdr:graphicFrame macro="">
      <xdr:nvGraphicFramePr>
        <xdr:cNvPr id="57788" name="Chart 3">
          <a:extLst>
            <a:ext uri="{FF2B5EF4-FFF2-40B4-BE49-F238E27FC236}">
              <a16:creationId xmlns:a16="http://schemas.microsoft.com/office/drawing/2014/main" id="{B66335D5-29E1-4D59-8725-705DB934DD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85725</xdr:rowOff>
    </xdr:from>
    <xdr:to>
      <xdr:col>13</xdr:col>
      <xdr:colOff>423863</xdr:colOff>
      <xdr:row>34</xdr:row>
      <xdr:rowOff>100013</xdr:rowOff>
    </xdr:to>
    <xdr:graphicFrame macro="">
      <xdr:nvGraphicFramePr>
        <xdr:cNvPr id="57789" name="Chart 2">
          <a:extLst>
            <a:ext uri="{FF2B5EF4-FFF2-40B4-BE49-F238E27FC236}">
              <a16:creationId xmlns:a16="http://schemas.microsoft.com/office/drawing/2014/main" id="{A841E643-2A5E-4FA8-B75C-F63642340C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40</xdr:row>
      <xdr:rowOff>0</xdr:rowOff>
    </xdr:from>
    <xdr:to>
      <xdr:col>18</xdr:col>
      <xdr:colOff>409575</xdr:colOff>
      <xdr:row>58</xdr:row>
      <xdr:rowOff>128588</xdr:rowOff>
    </xdr:to>
    <xdr:graphicFrame macro="">
      <xdr:nvGraphicFramePr>
        <xdr:cNvPr id="57790" name="Chart 2">
          <a:extLst>
            <a:ext uri="{FF2B5EF4-FFF2-40B4-BE49-F238E27FC236}">
              <a16:creationId xmlns:a16="http://schemas.microsoft.com/office/drawing/2014/main" id="{77CA5B54-D6E7-4DD5-9E57-7B57A9E15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0.76865</cdr:x>
      <cdr:y>0.70187</cdr:y>
    </cdr:from>
    <cdr:to>
      <cdr:x>0.99435</cdr:x>
      <cdr:y>0.99052</cdr:y>
    </cdr:to>
    <cdr:sp macro="" textlink="">
      <cdr:nvSpPr>
        <cdr:cNvPr id="2" name="TextBox 1"/>
        <cdr:cNvSpPr txBox="1"/>
      </cdr:nvSpPr>
      <cdr:spPr>
        <a:xfrm xmlns:a="http://schemas.openxmlformats.org/drawingml/2006/main">
          <a:off x="7039025" y="2247900"/>
          <a:ext cx="1971228" cy="7760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Sources:</a:t>
          </a:r>
        </a:p>
        <a:p xmlns:a="http://schemas.openxmlformats.org/drawingml/2006/main">
          <a:r>
            <a:rPr lang="en-US" sz="1000"/>
            <a:t>NOAA</a:t>
          </a:r>
        </a:p>
        <a:p xmlns:a="http://schemas.openxmlformats.org/drawingml/2006/main">
          <a:r>
            <a:rPr lang="en-US" sz="1000"/>
            <a:t>UIC Utilities Dept.</a:t>
          </a:r>
        </a:p>
        <a:p xmlns:a="http://schemas.openxmlformats.org/drawingml/2006/main">
          <a:r>
            <a:rPr lang="en-US" sz="1000"/>
            <a:t>UIC Capital</a:t>
          </a:r>
          <a:r>
            <a:rPr lang="en-US" sz="1000" baseline="0"/>
            <a:t> Programs</a:t>
          </a:r>
          <a:endParaRPr lang="en-US" sz="1000"/>
        </a:p>
        <a:p xmlns:a="http://schemas.openxmlformats.org/drawingml/2006/main">
          <a:endParaRPr lang="en-US" sz="1000"/>
        </a:p>
      </cdr:txBody>
    </cdr:sp>
  </cdr:relSizeAnchor>
</c:userShapes>
</file>

<file path=xl/drawings/drawing7.xml><?xml version="1.0" encoding="utf-8"?>
<xdr:wsDr xmlns:xdr="http://schemas.openxmlformats.org/drawingml/2006/spreadsheetDrawing" xmlns:a="http://schemas.openxmlformats.org/drawingml/2006/main">
  <xdr:twoCellAnchor>
    <xdr:from>
      <xdr:col>14</xdr:col>
      <xdr:colOff>119063</xdr:colOff>
      <xdr:row>21</xdr:row>
      <xdr:rowOff>4763</xdr:rowOff>
    </xdr:from>
    <xdr:to>
      <xdr:col>19</xdr:col>
      <xdr:colOff>333375</xdr:colOff>
      <xdr:row>39</xdr:row>
      <xdr:rowOff>133350</xdr:rowOff>
    </xdr:to>
    <xdr:graphicFrame macro="">
      <xdr:nvGraphicFramePr>
        <xdr:cNvPr id="121378" name="Chart 3">
          <a:extLst>
            <a:ext uri="{FF2B5EF4-FFF2-40B4-BE49-F238E27FC236}">
              <a16:creationId xmlns:a16="http://schemas.microsoft.com/office/drawing/2014/main" id="{15BB2024-2EB2-4D32-B984-EC3A7DAEB2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381000</xdr:colOff>
      <xdr:row>21</xdr:row>
      <xdr:rowOff>33338</xdr:rowOff>
    </xdr:from>
    <xdr:to>
      <xdr:col>25</xdr:col>
      <xdr:colOff>366713</xdr:colOff>
      <xdr:row>40</xdr:row>
      <xdr:rowOff>28575</xdr:rowOff>
    </xdr:to>
    <xdr:graphicFrame macro="">
      <xdr:nvGraphicFramePr>
        <xdr:cNvPr id="121379" name="Chart 3">
          <a:extLst>
            <a:ext uri="{FF2B5EF4-FFF2-40B4-BE49-F238E27FC236}">
              <a16:creationId xmlns:a16="http://schemas.microsoft.com/office/drawing/2014/main" id="{BA883E77-E43C-4D42-A936-D6B028DC3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23</xdr:row>
      <xdr:rowOff>14288</xdr:rowOff>
    </xdr:from>
    <xdr:to>
      <xdr:col>11</xdr:col>
      <xdr:colOff>214313</xdr:colOff>
      <xdr:row>40</xdr:row>
      <xdr:rowOff>28575</xdr:rowOff>
    </xdr:to>
    <xdr:graphicFrame macro="">
      <xdr:nvGraphicFramePr>
        <xdr:cNvPr id="121380" name="Chart 2">
          <a:extLst>
            <a:ext uri="{FF2B5EF4-FFF2-40B4-BE49-F238E27FC236}">
              <a16:creationId xmlns:a16="http://schemas.microsoft.com/office/drawing/2014/main" id="{98A88AD3-89DB-4A78-9DDD-7F189E38F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309563</xdr:colOff>
      <xdr:row>44</xdr:row>
      <xdr:rowOff>33338</xdr:rowOff>
    </xdr:from>
    <xdr:to>
      <xdr:col>11</xdr:col>
      <xdr:colOff>23813</xdr:colOff>
      <xdr:row>63</xdr:row>
      <xdr:rowOff>28575</xdr:rowOff>
    </xdr:to>
    <xdr:graphicFrame macro="">
      <xdr:nvGraphicFramePr>
        <xdr:cNvPr id="121381" name="Chart 2">
          <a:extLst>
            <a:ext uri="{FF2B5EF4-FFF2-40B4-BE49-F238E27FC236}">
              <a16:creationId xmlns:a16="http://schemas.microsoft.com/office/drawing/2014/main" id="{91A50B59-DA20-44B4-AE84-F1D1B208D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466725</xdr:colOff>
      <xdr:row>44</xdr:row>
      <xdr:rowOff>42863</xdr:rowOff>
    </xdr:from>
    <xdr:to>
      <xdr:col>24</xdr:col>
      <xdr:colOff>28575</xdr:colOff>
      <xdr:row>63</xdr:row>
      <xdr:rowOff>57150</xdr:rowOff>
    </xdr:to>
    <xdr:graphicFrame macro="">
      <xdr:nvGraphicFramePr>
        <xdr:cNvPr id="121382" name="Chart 1">
          <a:extLst>
            <a:ext uri="{FF2B5EF4-FFF2-40B4-BE49-F238E27FC236}">
              <a16:creationId xmlns:a16="http://schemas.microsoft.com/office/drawing/2014/main" id="{26CE68BB-F400-456A-9E65-6417B4114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271463</xdr:colOff>
      <xdr:row>18</xdr:row>
      <xdr:rowOff>19050</xdr:rowOff>
    </xdr:from>
    <xdr:to>
      <xdr:col>33</xdr:col>
      <xdr:colOff>76200</xdr:colOff>
      <xdr:row>38</xdr:row>
      <xdr:rowOff>119063</xdr:rowOff>
    </xdr:to>
    <xdr:graphicFrame macro="">
      <xdr:nvGraphicFramePr>
        <xdr:cNvPr id="121383" name="Chart 1">
          <a:extLst>
            <a:ext uri="{FF2B5EF4-FFF2-40B4-BE49-F238E27FC236}">
              <a16:creationId xmlns:a16="http://schemas.microsoft.com/office/drawing/2014/main" id="{ECE03AF5-5363-4CC6-AC2C-92E8C4974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0.7102</cdr:x>
      <cdr:y>0.69294</cdr:y>
    </cdr:from>
    <cdr:to>
      <cdr:x>0.99435</cdr:x>
      <cdr:y>0.991</cdr:y>
    </cdr:to>
    <cdr:sp macro="" textlink="">
      <cdr:nvSpPr>
        <cdr:cNvPr id="2" name="TextBox 1"/>
        <cdr:cNvSpPr txBox="1"/>
      </cdr:nvSpPr>
      <cdr:spPr>
        <a:xfrm xmlns:a="http://schemas.openxmlformats.org/drawingml/2006/main">
          <a:off x="5803900" y="2253223"/>
          <a:ext cx="2169575" cy="8132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Sources:</a:t>
          </a:r>
        </a:p>
        <a:p xmlns:a="http://schemas.openxmlformats.org/drawingml/2006/main">
          <a:r>
            <a:rPr lang="en-US" sz="1000"/>
            <a:t>NOAA</a:t>
          </a:r>
        </a:p>
        <a:p xmlns:a="http://schemas.openxmlformats.org/drawingml/2006/main">
          <a:r>
            <a:rPr lang="en-US" sz="1000"/>
            <a:t>UIC Utilities Dept.</a:t>
          </a:r>
        </a:p>
        <a:p xmlns:a="http://schemas.openxmlformats.org/drawingml/2006/main">
          <a:r>
            <a:rPr lang="en-US" sz="1000"/>
            <a:t>UIC Facilities &amp; Space Management</a:t>
          </a:r>
        </a:p>
        <a:p xmlns:a="http://schemas.openxmlformats.org/drawingml/2006/main">
          <a:endParaRPr lang="en-US" sz="10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OS\Data\Energy%20and%20Utilities\CampusCarbon\calculator_v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_Agreement"/>
      <sheetName val="Introduction"/>
      <sheetName val="Spreadsheet_Map"/>
      <sheetName val="Input"/>
      <sheetName val="Input_InflAdj"/>
      <sheetName val="CustFuelMix"/>
      <sheetName val="Input_Commuter"/>
      <sheetName val="S_CO2"/>
      <sheetName val="S_CH4"/>
      <sheetName val="S_N2O"/>
      <sheetName val="S_Energy"/>
      <sheetName val="S_CO2_Sum"/>
      <sheetName val="S_CH4_Sum"/>
      <sheetName val="S_N2O_Sum"/>
      <sheetName val="S_Energy_Sum"/>
      <sheetName val="S_eCO2_Sum"/>
      <sheetName val="S_Annual"/>
      <sheetName val="S_Demo"/>
      <sheetName val="ACUPCC_Reporting"/>
      <sheetName val="GraphControl"/>
      <sheetName val="Linear Projection"/>
      <sheetName val="Normalization"/>
      <sheetName val="Customized trends"/>
      <sheetName val="Detailed Projection"/>
      <sheetName val="Project_Input"/>
      <sheetName val="P_Cost_Ass"/>
      <sheetName val="Project_EF"/>
      <sheetName val="P_Emissions_Calc"/>
      <sheetName val="P_Source_Increases"/>
      <sheetName val="P_Source_Reductions"/>
      <sheetName val="P_Cash_Flow"/>
      <sheetName val="P_Sum"/>
      <sheetName val="P_Exec_Sum"/>
      <sheetName val="PG_EmissionsReductions"/>
      <sheetName val="PG_CapitalCost"/>
      <sheetName val="PG_AnnualCost"/>
      <sheetName val="PG_PaybackTime"/>
      <sheetName val="PG_IRR"/>
      <sheetName val="PG_NPV"/>
      <sheetName val="PG_CostPerReduction"/>
      <sheetName val="PG_eCO2_Wedges"/>
      <sheetName val="PG_vs_BAU"/>
      <sheetName val="EF_Map"/>
      <sheetName val="EF_CO2"/>
      <sheetName val="EF_CH4"/>
      <sheetName val="EF_N2O"/>
      <sheetName val="EF_Energy"/>
      <sheetName val="EF_eCO2"/>
      <sheetName val="EF_Stationary"/>
      <sheetName val="EF_Transportation"/>
      <sheetName val="EF_Agriculture"/>
      <sheetName val="EF_Animals"/>
      <sheetName val="EF_Refrigerants"/>
      <sheetName val="EF_Electric"/>
      <sheetName val="EF_ElectricMap"/>
      <sheetName val="EF_ElectricCO2"/>
      <sheetName val="EF_ElectricCH4N2O"/>
      <sheetName val="EF_ElectricCH4N20_Post2006"/>
      <sheetName val="EF_ElectricEnergy"/>
      <sheetName val="EF_ElectricLoss"/>
      <sheetName val="CustFuelMixConversion"/>
      <sheetName val="EF_ElectricGenEff"/>
      <sheetName val="EF_Steam"/>
      <sheetName val="EF_Water"/>
      <sheetName val="EF_SolidWaste"/>
      <sheetName val="EF_Wastewater"/>
      <sheetName val="EF_Paper"/>
      <sheetName val="EF_Offset"/>
      <sheetName val="EF_GWP"/>
      <sheetName val="EF_HeatingValues"/>
      <sheetName val="EF_CarbonContent"/>
      <sheetName val="EF_CH4N2O"/>
      <sheetName val="EF_Constants"/>
      <sheetName val="S_Graph_Sum"/>
      <sheetName val="G_TotalEmissions"/>
      <sheetName val="G_ScopeEmissions"/>
      <sheetName val="G_TotalCO2"/>
      <sheetName val="G_TotalCH4"/>
      <sheetName val="G_TotalN2O"/>
      <sheetName val="G_TotalEnergy"/>
      <sheetName val="G_Offset"/>
      <sheetName val="G_Demo_Emissions"/>
      <sheetName val="G_Operating$"/>
      <sheetName val="G_Research$"/>
      <sheetName val="G_Energy$"/>
      <sheetName val="G_Student"/>
      <sheetName val="G_Community"/>
      <sheetName val="G_BuildingSpace"/>
      <sheetName val="G_ResearchSpace"/>
      <sheetName val="G_HDD"/>
      <sheetName val="G_CDD"/>
      <sheetName val="G_Demo_Energy"/>
      <sheetName val="G_R_Operating$"/>
      <sheetName val="G_R_Research$"/>
      <sheetName val="G_R_Energy$"/>
      <sheetName val="G_R_Student"/>
      <sheetName val="G_R_Community"/>
      <sheetName val="G_R_BuildingSpace"/>
      <sheetName val="G_R_ResearchSpace"/>
      <sheetName val="G_R_HDD"/>
      <sheetName val="G_R_CDD"/>
      <sheetName val="G_NRG$_All"/>
      <sheetName val="Reference"/>
      <sheetName val="Troubleshooting_Guide"/>
      <sheetName val="Glossary"/>
      <sheetName val="Info"/>
      <sheetName val="DegreeD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B25">
            <v>2004</v>
          </cell>
        </row>
        <row r="26">
          <cell r="B26">
            <v>2005</v>
          </cell>
        </row>
        <row r="27">
          <cell r="B27">
            <v>2006</v>
          </cell>
        </row>
        <row r="28">
          <cell r="B28">
            <v>2007</v>
          </cell>
        </row>
        <row r="29">
          <cell r="B29">
            <v>2008</v>
          </cell>
        </row>
        <row r="30">
          <cell r="B30">
            <v>2009</v>
          </cell>
        </row>
        <row r="31">
          <cell r="B31">
            <v>2010</v>
          </cell>
        </row>
        <row r="32">
          <cell r="B32">
            <v>2011</v>
          </cell>
        </row>
        <row r="33">
          <cell r="B33">
            <v>2012</v>
          </cell>
        </row>
        <row r="34">
          <cell r="B34">
            <v>2013</v>
          </cell>
        </row>
        <row r="35">
          <cell r="B35">
            <v>2014</v>
          </cell>
        </row>
        <row r="36">
          <cell r="B36">
            <v>2015</v>
          </cell>
        </row>
        <row r="37">
          <cell r="B37">
            <v>2016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9"/>
  <sheetViews>
    <sheetView showGridLines="0" workbookViewId="0"/>
  </sheetViews>
  <sheetFormatPr defaultRowHeight="14.5" x14ac:dyDescent="0.35"/>
  <cols>
    <col min="1" max="1" width="1.1796875" customWidth="1"/>
    <col min="2" max="2" width="64.453125" customWidth="1"/>
    <col min="3" max="3" width="1.54296875" customWidth="1"/>
    <col min="4" max="4" width="5.54296875" customWidth="1"/>
    <col min="5" max="5" width="16" customWidth="1"/>
  </cols>
  <sheetData>
    <row r="1" spans="2:5" x14ac:dyDescent="0.35">
      <c r="B1" s="16" t="s">
        <v>32</v>
      </c>
      <c r="C1" s="16"/>
      <c r="D1" s="20"/>
      <c r="E1" s="20"/>
    </row>
    <row r="2" spans="2:5" x14ac:dyDescent="0.35">
      <c r="B2" s="16" t="s">
        <v>33</v>
      </c>
      <c r="C2" s="16"/>
      <c r="D2" s="20"/>
      <c r="E2" s="20"/>
    </row>
    <row r="3" spans="2:5" x14ac:dyDescent="0.35">
      <c r="B3" s="17"/>
      <c r="C3" s="17"/>
      <c r="D3" s="21"/>
      <c r="E3" s="21"/>
    </row>
    <row r="4" spans="2:5" ht="43.5" x14ac:dyDescent="0.35">
      <c r="B4" s="17" t="s">
        <v>34</v>
      </c>
      <c r="C4" s="17"/>
      <c r="D4" s="21"/>
      <c r="E4" s="21"/>
    </row>
    <row r="5" spans="2:5" x14ac:dyDescent="0.35">
      <c r="B5" s="17"/>
      <c r="C5" s="17"/>
      <c r="D5" s="21"/>
      <c r="E5" s="21"/>
    </row>
    <row r="6" spans="2:5" x14ac:dyDescent="0.35">
      <c r="B6" s="16" t="s">
        <v>35</v>
      </c>
      <c r="C6" s="16"/>
      <c r="D6" s="20"/>
      <c r="E6" s="20" t="s">
        <v>36</v>
      </c>
    </row>
    <row r="7" spans="2:5" ht="15" thickBot="1" x14ac:dyDescent="0.4">
      <c r="B7" s="17"/>
      <c r="C7" s="17"/>
      <c r="D7" s="21"/>
      <c r="E7" s="21"/>
    </row>
    <row r="8" spans="2:5" ht="44" thickBot="1" x14ac:dyDescent="0.4">
      <c r="B8" s="18" t="s">
        <v>37</v>
      </c>
      <c r="C8" s="19"/>
      <c r="D8" s="22"/>
      <c r="E8" s="23">
        <v>7</v>
      </c>
    </row>
    <row r="9" spans="2:5" x14ac:dyDescent="0.35">
      <c r="B9" s="17"/>
      <c r="C9" s="17"/>
      <c r="D9" s="21"/>
      <c r="E9"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1"/>
  <sheetViews>
    <sheetView tabSelected="1" zoomScale="71" zoomScaleNormal="80" workbookViewId="0">
      <pane xSplit="1" topLeftCell="B1" activePane="topRight" state="frozen"/>
      <selection pane="topRight" activeCell="X19" sqref="X19"/>
    </sheetView>
  </sheetViews>
  <sheetFormatPr defaultRowHeight="14.5" x14ac:dyDescent="0.35"/>
  <cols>
    <col min="1" max="1" width="6.7265625" customWidth="1"/>
    <col min="2" max="2" width="12.7265625" bestFit="1" customWidth="1"/>
    <col min="3" max="3" width="13.1796875" customWidth="1"/>
    <col min="4" max="4" width="12.7265625" bestFit="1" customWidth="1"/>
    <col min="5" max="5" width="9.453125" customWidth="1"/>
    <col min="6" max="6" width="9.54296875" customWidth="1"/>
    <col min="7" max="7" width="10.453125" hidden="1" customWidth="1"/>
    <col min="8" max="8" width="12.1796875" bestFit="1" customWidth="1"/>
    <col min="9" max="9" width="10.453125" hidden="1" customWidth="1"/>
    <col min="10" max="10" width="8.453125" customWidth="1"/>
    <col min="11" max="11" width="8.26953125" customWidth="1"/>
    <col min="12" max="12" width="9.453125" bestFit="1" customWidth="1"/>
    <col min="13" max="13" width="8.26953125" bestFit="1" customWidth="1"/>
    <col min="14" max="14" width="10.453125" bestFit="1" customWidth="1"/>
    <col min="15" max="15" width="10.453125" hidden="1" customWidth="1"/>
    <col min="16" max="16" width="10.1796875" hidden="1" customWidth="1"/>
    <col min="17" max="17" width="10.1796875" customWidth="1"/>
    <col min="18" max="18" width="11.54296875" bestFit="1" customWidth="1"/>
    <col min="20" max="20" width="8.81640625" style="42" customWidth="1"/>
    <col min="21" max="21" width="8.26953125" customWidth="1"/>
    <col min="22" max="22" width="13.81640625" bestFit="1" customWidth="1"/>
    <col min="23" max="23" width="8.453125" customWidth="1"/>
    <col min="24" max="24" width="8.1796875" customWidth="1"/>
    <col min="27" max="27" width="8.81640625" style="42" customWidth="1"/>
    <col min="29" max="29" width="0" hidden="1" customWidth="1"/>
  </cols>
  <sheetData>
    <row r="1" spans="1:32" x14ac:dyDescent="0.35">
      <c r="A1" t="s">
        <v>0</v>
      </c>
      <c r="O1" t="s">
        <v>1</v>
      </c>
    </row>
    <row r="2" spans="1:32" ht="69" customHeight="1" x14ac:dyDescent="0.35">
      <c r="A2" s="1" t="s">
        <v>2</v>
      </c>
      <c r="B2" s="1" t="s">
        <v>3</v>
      </c>
      <c r="C2" s="1" t="s">
        <v>4</v>
      </c>
      <c r="D2" s="2" t="s">
        <v>5</v>
      </c>
      <c r="E2" s="3" t="s">
        <v>6</v>
      </c>
      <c r="F2" s="3" t="s">
        <v>7</v>
      </c>
      <c r="G2" s="3" t="s">
        <v>8</v>
      </c>
      <c r="H2" s="4" t="s">
        <v>9</v>
      </c>
      <c r="I2" s="5" t="s">
        <v>10</v>
      </c>
      <c r="J2" s="1" t="s">
        <v>11</v>
      </c>
      <c r="K2" s="3" t="s">
        <v>12</v>
      </c>
      <c r="L2" s="3" t="s">
        <v>13</v>
      </c>
      <c r="M2" s="3"/>
      <c r="N2" s="1" t="s">
        <v>15</v>
      </c>
      <c r="O2" s="3" t="s">
        <v>16</v>
      </c>
      <c r="P2" s="1" t="s">
        <v>17</v>
      </c>
      <c r="Q2" s="4" t="s">
        <v>16</v>
      </c>
      <c r="R2" s="1" t="s">
        <v>18</v>
      </c>
      <c r="S2" s="6" t="s">
        <v>42</v>
      </c>
      <c r="T2" s="6" t="s">
        <v>66</v>
      </c>
      <c r="U2" s="1" t="s">
        <v>63</v>
      </c>
      <c r="V2" s="1" t="s">
        <v>67</v>
      </c>
      <c r="W2" s="1" t="s">
        <v>40</v>
      </c>
      <c r="X2" s="1" t="s">
        <v>41</v>
      </c>
      <c r="Y2" s="47" t="s">
        <v>24</v>
      </c>
      <c r="Z2" s="5" t="s">
        <v>39</v>
      </c>
      <c r="AA2" s="47" t="s">
        <v>64</v>
      </c>
      <c r="AB2" s="1" t="s">
        <v>46</v>
      </c>
      <c r="AC2" s="1" t="s">
        <v>45</v>
      </c>
      <c r="AD2" s="1" t="s">
        <v>47</v>
      </c>
      <c r="AE2" s="47" t="s">
        <v>68</v>
      </c>
      <c r="AF2" s="47" t="s">
        <v>65</v>
      </c>
    </row>
    <row r="3" spans="1:32" x14ac:dyDescent="0.35">
      <c r="A3">
        <v>2004</v>
      </c>
      <c r="B3" s="7">
        <v>262145457</v>
      </c>
      <c r="C3" s="7">
        <v>66316242</v>
      </c>
      <c r="D3" s="8">
        <f t="shared" ref="D3:D12" si="0">B3+C3</f>
        <v>328461699</v>
      </c>
      <c r="E3" s="9"/>
      <c r="F3" s="9">
        <f t="shared" ref="F3:F19" si="1">C3*$B$28</f>
        <v>226271.017704</v>
      </c>
      <c r="G3" s="9">
        <v>3823671</v>
      </c>
      <c r="H3" s="10">
        <v>3733098.6630000006</v>
      </c>
      <c r="I3" s="11">
        <f>(G3-H3)/G3</f>
        <v>2.3687272519000553E-2</v>
      </c>
      <c r="J3" s="7">
        <v>73417</v>
      </c>
      <c r="K3" s="9">
        <f t="shared" ref="K3:K19" si="2">J3*$E$28</f>
        <v>10131.546</v>
      </c>
      <c r="L3" s="9">
        <v>73436</v>
      </c>
      <c r="M3" s="9"/>
      <c r="N3" s="7">
        <f>F3+H3+K3+L3</f>
        <v>4042937.2267040005</v>
      </c>
      <c r="O3" s="9">
        <f>F3+G3+E3*B28+M3+K3+L3</f>
        <v>4133509.5637039999</v>
      </c>
      <c r="P3" s="7">
        <v>14063190</v>
      </c>
      <c r="Q3" s="10">
        <f>F3+H3+E3*B28+K3+L3+M3</f>
        <v>4042937.2267040005</v>
      </c>
      <c r="R3" s="7">
        <v>13160015</v>
      </c>
      <c r="S3" s="32">
        <f t="shared" ref="S3:S9" si="3">1000*Q3/R3</f>
        <v>307.21372480988816</v>
      </c>
      <c r="T3" s="45">
        <f>S3/$B$28/1000000</f>
        <v>9.0039192499967224E-2</v>
      </c>
      <c r="U3" s="46">
        <f>D3/R3/1000</f>
        <v>2.4959067219908183E-2</v>
      </c>
      <c r="V3" s="42">
        <f t="shared" ref="V3:V8" si="4">H3/B3</f>
        <v>1.4240562112812051E-2</v>
      </c>
      <c r="W3">
        <v>946.69999999999993</v>
      </c>
      <c r="X3">
        <v>5754.2</v>
      </c>
      <c r="Y3" s="48">
        <v>0</v>
      </c>
      <c r="Z3" s="50">
        <v>0</v>
      </c>
      <c r="AA3" s="48">
        <v>0</v>
      </c>
      <c r="AB3" s="33">
        <f>1000*S3/X3</f>
        <v>53.389476349429664</v>
      </c>
      <c r="AC3">
        <f>S3/W3</f>
        <v>0.32451011387967488</v>
      </c>
      <c r="AD3" s="38">
        <f t="shared" ref="AD3:AD12" si="5">($AB$3-AB3)/$AB$3</f>
        <v>0</v>
      </c>
      <c r="AE3" s="48">
        <v>0</v>
      </c>
      <c r="AF3" s="48">
        <v>0</v>
      </c>
    </row>
    <row r="4" spans="1:32" x14ac:dyDescent="0.35">
      <c r="A4">
        <v>2005</v>
      </c>
      <c r="B4" s="7">
        <v>239502234</v>
      </c>
      <c r="C4" s="7">
        <v>80040349</v>
      </c>
      <c r="D4" s="8">
        <f t="shared" si="0"/>
        <v>319542583</v>
      </c>
      <c r="E4" s="9"/>
      <c r="F4" s="9">
        <f t="shared" si="1"/>
        <v>273097.67078799999</v>
      </c>
      <c r="G4" s="9">
        <v>3495919</v>
      </c>
      <c r="H4" s="10">
        <v>3411481</v>
      </c>
      <c r="I4" s="11">
        <f t="shared" ref="I4:I9" si="6">(G4-H4)/G4</f>
        <v>2.4153305611485848E-2</v>
      </c>
      <c r="J4" s="7">
        <v>64869</v>
      </c>
      <c r="K4" s="9">
        <f t="shared" si="2"/>
        <v>8951.9220000000005</v>
      </c>
      <c r="L4" s="9">
        <v>70689</v>
      </c>
      <c r="M4" s="9"/>
      <c r="N4" s="7">
        <f t="shared" ref="N4:N13" si="7">F4+H4+K4+L4</f>
        <v>3764219.5927879997</v>
      </c>
      <c r="O4" s="9">
        <f t="shared" ref="O4:O9" si="8">F4+G4+E4*B27+M4+K4+L4</f>
        <v>3848657.5927879997</v>
      </c>
      <c r="P4" s="7">
        <v>14431675</v>
      </c>
      <c r="Q4" s="10">
        <f>F4+H4+E4*B28+K4+L4+M4</f>
        <v>3764219.5927879997</v>
      </c>
      <c r="R4" s="7">
        <v>13133404</v>
      </c>
      <c r="S4" s="32">
        <f t="shared" si="3"/>
        <v>286.61416284673794</v>
      </c>
      <c r="T4" s="45">
        <f t="shared" ref="T4:T19" si="9">S4/$B$28/1000000</f>
        <v>8.40018062270627E-2</v>
      </c>
      <c r="U4" s="46">
        <f t="shared" ref="U4:U19" si="10">D4/R4/1000</f>
        <v>2.4330522612416399E-2</v>
      </c>
      <c r="V4" s="42">
        <f t="shared" si="4"/>
        <v>1.4244046675572972E-2</v>
      </c>
      <c r="W4">
        <v>959</v>
      </c>
      <c r="X4">
        <v>5568.6999999999989</v>
      </c>
      <c r="Y4" s="49">
        <f t="shared" ref="Y4:Y9" si="11">($Q$3-Q4)/$Q$3</f>
        <v>6.89393919042431E-2</v>
      </c>
      <c r="Z4" s="51">
        <f t="shared" ref="Z4:Z11" si="12">(R4-$R$3)/$R$3</f>
        <v>-2.0221101571692738E-3</v>
      </c>
      <c r="AA4" s="49">
        <f>($T$3-T4)/$T$3</f>
        <v>6.7052870036642342E-2</v>
      </c>
      <c r="AB4" s="33">
        <f t="shared" ref="AB4:AB13" si="13">S4/X4*1000</f>
        <v>51.468774192672974</v>
      </c>
      <c r="AC4">
        <f t="shared" ref="AC4:AC13" si="14">S4/W4</f>
        <v>0.29886774019472151</v>
      </c>
      <c r="AD4" s="38">
        <f t="shared" si="5"/>
        <v>3.5975294909915474E-2</v>
      </c>
      <c r="AE4" s="49">
        <v>0</v>
      </c>
      <c r="AF4" s="49">
        <v>0</v>
      </c>
    </row>
    <row r="5" spans="1:32" x14ac:dyDescent="0.35">
      <c r="A5">
        <v>2006</v>
      </c>
      <c r="B5" s="7">
        <v>174148396</v>
      </c>
      <c r="C5" s="7">
        <v>137306802</v>
      </c>
      <c r="D5" s="8">
        <f t="shared" si="0"/>
        <v>311455198</v>
      </c>
      <c r="E5" s="9"/>
      <c r="F5" s="9">
        <f t="shared" si="1"/>
        <v>468490.80842399999</v>
      </c>
      <c r="G5" s="9">
        <v>2961686</v>
      </c>
      <c r="H5" s="10">
        <v>3037415</v>
      </c>
      <c r="I5" s="11">
        <f t="shared" si="6"/>
        <v>-2.5569557339974597E-2</v>
      </c>
      <c r="J5" s="7">
        <v>16583</v>
      </c>
      <c r="K5" s="9">
        <f t="shared" si="2"/>
        <v>2288.4540000000002</v>
      </c>
      <c r="L5" s="9">
        <v>54825</v>
      </c>
      <c r="M5" s="9"/>
      <c r="N5" s="7">
        <f t="shared" si="7"/>
        <v>3563019.2624240001</v>
      </c>
      <c r="O5" s="9">
        <f t="shared" si="8"/>
        <v>3487290.2624240001</v>
      </c>
      <c r="P5" s="7">
        <v>14501696</v>
      </c>
      <c r="Q5" s="10">
        <f>F5+H5+E5*B28+K5+L5+M5</f>
        <v>3563019.2624240001</v>
      </c>
      <c r="R5" s="7">
        <f>13622489-$R$21</f>
        <v>13367829</v>
      </c>
      <c r="S5" s="32">
        <f t="shared" si="3"/>
        <v>266.53686716249888</v>
      </c>
      <c r="T5" s="45">
        <f t="shared" si="9"/>
        <v>7.8117487445046555E-2</v>
      </c>
      <c r="U5" s="46">
        <f t="shared" si="10"/>
        <v>2.3298861617694244E-2</v>
      </c>
      <c r="V5" s="42">
        <f t="shared" si="4"/>
        <v>1.7441533024513185E-2</v>
      </c>
      <c r="W5">
        <v>1251.8</v>
      </c>
      <c r="X5">
        <v>5496.0999999999995</v>
      </c>
      <c r="Y5" s="49">
        <f t="shared" si="11"/>
        <v>0.11870527227335977</v>
      </c>
      <c r="Z5" s="51">
        <f t="shared" si="12"/>
        <v>1.5791319386794012E-2</v>
      </c>
      <c r="AA5" s="49">
        <f t="shared" ref="AA5:AA19" si="15">($T$3-T5)/$T$3</f>
        <v>0.13240573048147905</v>
      </c>
      <c r="AB5" s="33">
        <f t="shared" si="13"/>
        <v>48.49563638989445</v>
      </c>
      <c r="AC5">
        <f>S5/W5</f>
        <v>0.21292288477592178</v>
      </c>
      <c r="AD5" s="38">
        <f t="shared" si="5"/>
        <v>9.1663007284533748E-2</v>
      </c>
      <c r="AE5" s="49">
        <v>0</v>
      </c>
      <c r="AF5" s="49">
        <v>0</v>
      </c>
    </row>
    <row r="6" spans="1:32" x14ac:dyDescent="0.35">
      <c r="A6">
        <v>2007</v>
      </c>
      <c r="B6" s="7">
        <v>222191264</v>
      </c>
      <c r="C6" s="7">
        <v>118607943</v>
      </c>
      <c r="D6" s="8">
        <f t="shared" si="0"/>
        <v>340799207</v>
      </c>
      <c r="E6" s="9"/>
      <c r="F6" s="9">
        <f t="shared" si="1"/>
        <v>404690.30151600001</v>
      </c>
      <c r="G6" s="9">
        <v>3267894</v>
      </c>
      <c r="H6" s="10">
        <v>3236113</v>
      </c>
      <c r="I6" s="11">
        <f t="shared" si="6"/>
        <v>9.7252236455650024E-3</v>
      </c>
      <c r="J6" s="7">
        <v>37359</v>
      </c>
      <c r="K6" s="9">
        <f t="shared" si="2"/>
        <v>5155.5420000000004</v>
      </c>
      <c r="L6" s="9">
        <v>47724</v>
      </c>
      <c r="M6" s="9"/>
      <c r="N6" s="7">
        <f t="shared" si="7"/>
        <v>3693682.8435160001</v>
      </c>
      <c r="O6" s="9">
        <f t="shared" si="8"/>
        <v>3725463.8435160001</v>
      </c>
      <c r="P6" s="7">
        <v>14888519.870000001</v>
      </c>
      <c r="Q6" s="10">
        <f>F6+H6+E6*B28+K6+L6+M6</f>
        <v>3693682.8435160001</v>
      </c>
      <c r="R6" s="7">
        <f>13983619-R21</f>
        <v>13728959</v>
      </c>
      <c r="S6" s="32">
        <f t="shared" si="3"/>
        <v>269.04318408380419</v>
      </c>
      <c r="T6" s="45">
        <f t="shared" si="9"/>
        <v>7.8852046917879295E-2</v>
      </c>
      <c r="U6" s="46">
        <f t="shared" si="10"/>
        <v>2.4823382967346614E-2</v>
      </c>
      <c r="V6" s="42">
        <f t="shared" si="4"/>
        <v>1.4564537514850269E-2</v>
      </c>
      <c r="W6">
        <v>1155.9000000000001</v>
      </c>
      <c r="X6">
        <v>5624.1</v>
      </c>
      <c r="Y6" s="49">
        <f t="shared" si="11"/>
        <v>8.6386298773362263E-2</v>
      </c>
      <c r="Z6" s="51">
        <f t="shared" si="12"/>
        <v>4.3232777470238445E-2</v>
      </c>
      <c r="AA6" s="49">
        <f t="shared" si="15"/>
        <v>0.12424751123897519</v>
      </c>
      <c r="AB6" s="33">
        <f t="shared" si="13"/>
        <v>47.837553401220489</v>
      </c>
      <c r="AC6">
        <f t="shared" si="14"/>
        <v>0.23275645305286286</v>
      </c>
      <c r="AD6" s="38">
        <f t="shared" si="5"/>
        <v>0.10398908788451684</v>
      </c>
      <c r="AE6" s="49">
        <v>0</v>
      </c>
      <c r="AF6" s="49">
        <v>0</v>
      </c>
    </row>
    <row r="7" spans="1:32" x14ac:dyDescent="0.35">
      <c r="A7">
        <v>2008</v>
      </c>
      <c r="B7" s="7">
        <v>186085556</v>
      </c>
      <c r="C7" s="7">
        <v>141261073</v>
      </c>
      <c r="D7" s="8">
        <f t="shared" si="0"/>
        <v>327346629</v>
      </c>
      <c r="E7" s="9"/>
      <c r="F7" s="9">
        <f t="shared" si="1"/>
        <v>481982.78107600001</v>
      </c>
      <c r="G7" s="9">
        <v>3257287</v>
      </c>
      <c r="H7" s="10">
        <v>3190944</v>
      </c>
      <c r="I7" s="11">
        <f t="shared" si="6"/>
        <v>2.0367563558261831E-2</v>
      </c>
      <c r="J7" s="7">
        <v>27846</v>
      </c>
      <c r="K7" s="9">
        <f t="shared" si="2"/>
        <v>3842.7480000000005</v>
      </c>
      <c r="L7" s="9">
        <v>65296</v>
      </c>
      <c r="M7" s="9"/>
      <c r="N7" s="7">
        <f t="shared" si="7"/>
        <v>3742065.5290760002</v>
      </c>
      <c r="O7" s="9">
        <f t="shared" si="8"/>
        <v>3808408.5290760002</v>
      </c>
      <c r="P7" s="7">
        <v>14692023</v>
      </c>
      <c r="Q7" s="10">
        <f>F7+H7+E7*B28+K7+L7+M7</f>
        <v>3742065.5290760002</v>
      </c>
      <c r="R7" s="7">
        <f>14692023-R21</f>
        <v>14437363</v>
      </c>
      <c r="S7" s="32">
        <f t="shared" si="3"/>
        <v>259.19314552636797</v>
      </c>
      <c r="T7" s="45">
        <f t="shared" si="9"/>
        <v>7.5965165746297761E-2</v>
      </c>
      <c r="U7" s="46">
        <f t="shared" si="10"/>
        <v>2.2673574737990587E-2</v>
      </c>
      <c r="V7" s="42">
        <f t="shared" si="4"/>
        <v>1.7147725318347653E-2</v>
      </c>
      <c r="W7">
        <v>1085.5999999999999</v>
      </c>
      <c r="X7">
        <v>6025.0000000000009</v>
      </c>
      <c r="Y7" s="49">
        <f t="shared" si="11"/>
        <v>7.4419087103483314E-2</v>
      </c>
      <c r="Z7" s="51">
        <f t="shared" si="12"/>
        <v>9.7062807299231807E-2</v>
      </c>
      <c r="AA7" s="49">
        <f t="shared" si="15"/>
        <v>0.15631000637499706</v>
      </c>
      <c r="AB7" s="33">
        <f t="shared" si="13"/>
        <v>43.019609215994677</v>
      </c>
      <c r="AC7">
        <f t="shared" si="14"/>
        <v>0.23875566094912307</v>
      </c>
      <c r="AD7" s="38">
        <f t="shared" si="5"/>
        <v>0.1942305458395035</v>
      </c>
      <c r="AE7" s="49">
        <v>0</v>
      </c>
      <c r="AF7" s="49">
        <v>0</v>
      </c>
    </row>
    <row r="8" spans="1:32" x14ac:dyDescent="0.35">
      <c r="A8">
        <v>2009</v>
      </c>
      <c r="B8" s="7">
        <v>161143518</v>
      </c>
      <c r="C8" s="7">
        <v>176681127</v>
      </c>
      <c r="D8" s="8">
        <f t="shared" si="0"/>
        <v>337824645</v>
      </c>
      <c r="E8" s="9"/>
      <c r="F8" s="9">
        <f t="shared" si="1"/>
        <v>602836.00532400003</v>
      </c>
      <c r="G8" s="9">
        <v>3156244</v>
      </c>
      <c r="H8" s="10">
        <v>2960088</v>
      </c>
      <c r="I8" s="11">
        <f t="shared" si="6"/>
        <v>6.2148553787349771E-2</v>
      </c>
      <c r="J8" s="7">
        <v>14789</v>
      </c>
      <c r="K8" s="9">
        <f t="shared" si="2"/>
        <v>2040.8820000000001</v>
      </c>
      <c r="L8" s="9">
        <v>59946.1</v>
      </c>
      <c r="M8" s="9"/>
      <c r="N8" s="7">
        <f t="shared" si="7"/>
        <v>3624910.9873240003</v>
      </c>
      <c r="O8" s="9">
        <f t="shared" si="8"/>
        <v>3821066.9873240003</v>
      </c>
      <c r="P8" s="7">
        <v>14655095</v>
      </c>
      <c r="Q8" s="10">
        <f>F8+H8+E8*0.003412+K8+L8+M8</f>
        <v>3624910.9873240003</v>
      </c>
      <c r="R8" s="7">
        <f>14655095-R21</f>
        <v>14400435</v>
      </c>
      <c r="S8" s="32">
        <f t="shared" si="3"/>
        <v>251.72232556335973</v>
      </c>
      <c r="T8" s="45">
        <f t="shared" si="9"/>
        <v>7.3775593658663458E-2</v>
      </c>
      <c r="U8" s="46">
        <f t="shared" si="10"/>
        <v>2.3459336124221249E-2</v>
      </c>
      <c r="V8" s="42">
        <f t="shared" si="4"/>
        <v>1.8369265092003265E-2</v>
      </c>
      <c r="W8">
        <v>910.19999999999993</v>
      </c>
      <c r="X8">
        <v>6276.4</v>
      </c>
      <c r="Y8" s="49">
        <f t="shared" si="11"/>
        <v>0.10339666829821038</v>
      </c>
      <c r="Z8" s="51">
        <f t="shared" si="12"/>
        <v>9.4256731470290872E-2</v>
      </c>
      <c r="AA8" s="49">
        <f t="shared" si="15"/>
        <v>0.18062799531781326</v>
      </c>
      <c r="AB8" s="33">
        <f t="shared" si="13"/>
        <v>40.106163654859429</v>
      </c>
      <c r="AC8">
        <f t="shared" si="14"/>
        <v>0.27655715838646422</v>
      </c>
      <c r="AD8" s="38">
        <f t="shared" si="5"/>
        <v>0.24880020563663263</v>
      </c>
      <c r="AE8" s="49">
        <f>($Q$7-Q8)/$Q$7</f>
        <v>3.1307453287951363E-2</v>
      </c>
      <c r="AF8" s="49">
        <f t="shared" ref="AF8:AF14" si="16">($T$7-T8)/$T$7</f>
        <v>2.8823370108173749E-2</v>
      </c>
    </row>
    <row r="9" spans="1:32" x14ac:dyDescent="0.35">
      <c r="A9">
        <v>2010</v>
      </c>
      <c r="B9" s="7">
        <f>136774662</f>
        <v>136774662</v>
      </c>
      <c r="C9" s="7">
        <v>179245671</v>
      </c>
      <c r="D9" s="8">
        <f t="shared" si="0"/>
        <v>316020333</v>
      </c>
      <c r="E9" s="9">
        <v>30400</v>
      </c>
      <c r="F9" s="9">
        <f t="shared" si="1"/>
        <v>611586.229452</v>
      </c>
      <c r="G9" s="9">
        <v>2783831.1610000003</v>
      </c>
      <c r="H9" s="10">
        <v>2755406</v>
      </c>
      <c r="I9" s="11">
        <f t="shared" si="6"/>
        <v>1.0210806387334749E-2</v>
      </c>
      <c r="J9" s="7">
        <v>1153</v>
      </c>
      <c r="K9" s="9">
        <f t="shared" si="2"/>
        <v>159.114</v>
      </c>
      <c r="L9" s="9">
        <v>49005.121600000108</v>
      </c>
      <c r="M9" s="9"/>
      <c r="N9" s="7">
        <f t="shared" si="7"/>
        <v>3416156.4650520002</v>
      </c>
      <c r="O9" s="9">
        <f t="shared" si="8"/>
        <v>3444581.6260520006</v>
      </c>
      <c r="P9" s="7">
        <v>14641390</v>
      </c>
      <c r="Q9" s="10">
        <f>F9+H9+E9*0.003412+K9+L9+M9</f>
        <v>3416260.1898520002</v>
      </c>
      <c r="R9" s="7">
        <f>14641390-R21</f>
        <v>14386730</v>
      </c>
      <c r="S9" s="32">
        <f t="shared" si="3"/>
        <v>237.45911613354809</v>
      </c>
      <c r="T9" s="45">
        <f t="shared" si="9"/>
        <v>6.9595286088378699E-2</v>
      </c>
      <c r="U9" s="46">
        <f t="shared" si="10"/>
        <v>2.1966098828573276E-2</v>
      </c>
      <c r="V9">
        <f t="shared" ref="V9:V19" si="17">H9/B9</f>
        <v>2.0145588076832536E-2</v>
      </c>
      <c r="W9">
        <v>825.69999999999993</v>
      </c>
      <c r="X9">
        <v>5761.3</v>
      </c>
      <c r="Y9" s="49">
        <f t="shared" si="11"/>
        <v>0.15500538388593729</v>
      </c>
      <c r="Z9" s="51">
        <f t="shared" si="12"/>
        <v>9.3215319283450671E-2</v>
      </c>
      <c r="AA9" s="49">
        <f t="shared" si="15"/>
        <v>0.22705563926060274</v>
      </c>
      <c r="AB9" s="33">
        <f t="shared" si="13"/>
        <v>41.21623871930781</v>
      </c>
      <c r="AC9">
        <f t="shared" si="14"/>
        <v>0.28758521997523084</v>
      </c>
      <c r="AD9" s="38">
        <f t="shared" si="5"/>
        <v>0.22800818555419106</v>
      </c>
      <c r="AE9" s="49">
        <f t="shared" ref="AE9:AE19" si="18">($Q$7-Q9)/$Q$7</f>
        <v>8.7065642408578725E-2</v>
      </c>
      <c r="AF9" s="49">
        <f t="shared" si="16"/>
        <v>8.3852639500487158E-2</v>
      </c>
    </row>
    <row r="10" spans="1:32" x14ac:dyDescent="0.35">
      <c r="A10">
        <v>2011</v>
      </c>
      <c r="B10" s="7">
        <v>139014807</v>
      </c>
      <c r="C10" s="7">
        <v>176034726</v>
      </c>
      <c r="D10" s="8">
        <f t="shared" si="0"/>
        <v>315049533</v>
      </c>
      <c r="E10" s="9">
        <v>60683</v>
      </c>
      <c r="F10" s="9">
        <f t="shared" si="1"/>
        <v>600630.48511200002</v>
      </c>
      <c r="G10" s="9" t="s">
        <v>1</v>
      </c>
      <c r="H10" s="10">
        <v>2909118.95</v>
      </c>
      <c r="I10" s="11"/>
      <c r="J10" s="25">
        <v>10022</v>
      </c>
      <c r="K10" s="26">
        <f t="shared" si="2"/>
        <v>1383.0360000000001</v>
      </c>
      <c r="L10" s="9">
        <v>40212.60329999961</v>
      </c>
      <c r="M10" s="26"/>
      <c r="N10" s="7">
        <f t="shared" si="7"/>
        <v>3551345.0744119999</v>
      </c>
      <c r="O10" s="9"/>
      <c r="P10" s="7"/>
      <c r="Q10" s="10">
        <f t="shared" ref="Q10:Q19" si="19">F10+H10+E10*0.003412+K10+L10+M10</f>
        <v>3551552.1248079999</v>
      </c>
      <c r="R10" s="7">
        <f>14641390-R21</f>
        <v>14386730</v>
      </c>
      <c r="S10" s="32">
        <f t="shared" ref="S10:S19" si="20">1000*Q10/R10</f>
        <v>246.86305538562272</v>
      </c>
      <c r="T10" s="45">
        <f t="shared" si="9"/>
        <v>7.2351423032128576E-2</v>
      </c>
      <c r="U10" s="46">
        <f t="shared" si="10"/>
        <v>2.1898619978271642E-2</v>
      </c>
      <c r="V10">
        <f t="shared" si="17"/>
        <v>2.0926684090565979E-2</v>
      </c>
      <c r="W10">
        <v>1200</v>
      </c>
      <c r="X10">
        <v>6021.5</v>
      </c>
      <c r="Y10" s="49">
        <f t="shared" ref="Y10:Y19" si="21">($Q$3-Q10)/$Q$3</f>
        <v>0.12154161055243533</v>
      </c>
      <c r="Z10" s="51">
        <f t="shared" si="12"/>
        <v>9.3215319283450671E-2</v>
      </c>
      <c r="AA10" s="49">
        <f t="shared" si="15"/>
        <v>0.19644522542608417</v>
      </c>
      <c r="AB10" s="33">
        <f t="shared" si="13"/>
        <v>40.996936873805986</v>
      </c>
      <c r="AC10">
        <f t="shared" si="14"/>
        <v>0.20571921282135228</v>
      </c>
      <c r="AD10" s="38">
        <f t="shared" si="5"/>
        <v>0.2321157711777419</v>
      </c>
      <c r="AE10" s="49">
        <f t="shared" si="18"/>
        <v>5.0911295590016649E-2</v>
      </c>
      <c r="AF10" s="49">
        <f t="shared" si="16"/>
        <v>4.7571050213173594E-2</v>
      </c>
    </row>
    <row r="11" spans="1:32" x14ac:dyDescent="0.35">
      <c r="A11">
        <v>2012</v>
      </c>
      <c r="B11" s="7">
        <v>142295453</v>
      </c>
      <c r="C11" s="7">
        <v>174428914</v>
      </c>
      <c r="D11" s="8">
        <f t="shared" si="0"/>
        <v>316724367</v>
      </c>
      <c r="E11" s="9">
        <v>112357</v>
      </c>
      <c r="F11" s="9">
        <f t="shared" si="1"/>
        <v>595151.45456800004</v>
      </c>
      <c r="G11" s="9"/>
      <c r="H11" s="10">
        <v>2683538.94</v>
      </c>
      <c r="I11" s="11"/>
      <c r="J11" s="25">
        <v>9178</v>
      </c>
      <c r="K11" s="26">
        <f t="shared" si="2"/>
        <v>1266.5640000000001</v>
      </c>
      <c r="L11" s="9">
        <v>36826.720000000001</v>
      </c>
      <c r="M11" s="26"/>
      <c r="N11" s="7">
        <f t="shared" si="7"/>
        <v>3316783.678568</v>
      </c>
      <c r="O11" s="9"/>
      <c r="P11" s="7"/>
      <c r="Q11" s="10">
        <f t="shared" si="19"/>
        <v>3317167.0406519999</v>
      </c>
      <c r="R11" s="25">
        <f>14644990-R21</f>
        <v>14390330</v>
      </c>
      <c r="S11" s="32">
        <f t="shared" si="20"/>
        <v>230.51361856552282</v>
      </c>
      <c r="T11" s="45">
        <f t="shared" si="9"/>
        <v>6.7559677188019585E-2</v>
      </c>
      <c r="U11" s="46">
        <f t="shared" si="10"/>
        <v>2.2009527717571451E-2</v>
      </c>
      <c r="V11">
        <f t="shared" si="17"/>
        <v>1.8858922638940543E-2</v>
      </c>
      <c r="W11">
        <v>1346.3</v>
      </c>
      <c r="X11">
        <v>4768.3</v>
      </c>
      <c r="Y11" s="49">
        <f t="shared" si="21"/>
        <v>0.1795155713173622</v>
      </c>
      <c r="Z11" s="51">
        <f t="shared" si="12"/>
        <v>9.348887520264984E-2</v>
      </c>
      <c r="AA11" s="49">
        <f t="shared" si="15"/>
        <v>0.24966367076154999</v>
      </c>
      <c r="AB11" s="33">
        <f t="shared" si="13"/>
        <v>48.342935336602736</v>
      </c>
      <c r="AC11">
        <f t="shared" si="14"/>
        <v>0.17122009846655487</v>
      </c>
      <c r="AD11" s="38">
        <f t="shared" si="5"/>
        <v>9.4523141223520138E-2</v>
      </c>
      <c r="AE11" s="49">
        <f t="shared" si="18"/>
        <v>0.11354651197915214</v>
      </c>
      <c r="AF11" s="49">
        <f t="shared" si="16"/>
        <v>0.11064924924076568</v>
      </c>
    </row>
    <row r="12" spans="1:32" x14ac:dyDescent="0.35">
      <c r="A12">
        <v>2013</v>
      </c>
      <c r="B12" s="7">
        <v>106325317</v>
      </c>
      <c r="C12" s="7">
        <v>204835356</v>
      </c>
      <c r="D12" s="8">
        <f t="shared" si="0"/>
        <v>311160673</v>
      </c>
      <c r="E12" s="9">
        <v>128454.20000000001</v>
      </c>
      <c r="F12" s="9">
        <f t="shared" si="1"/>
        <v>698898.23467200005</v>
      </c>
      <c r="G12" s="9"/>
      <c r="H12" s="10">
        <v>2670946.7999999998</v>
      </c>
      <c r="I12" s="11"/>
      <c r="J12" s="25">
        <v>1287</v>
      </c>
      <c r="K12" s="26">
        <f t="shared" si="2"/>
        <v>177.60600000000002</v>
      </c>
      <c r="L12" s="26">
        <v>44792.792999999969</v>
      </c>
      <c r="M12" s="26"/>
      <c r="N12" s="7">
        <f t="shared" si="7"/>
        <v>3414815.4336720002</v>
      </c>
      <c r="O12" s="9"/>
      <c r="P12" s="7"/>
      <c r="Q12" s="10">
        <f t="shared" si="19"/>
        <v>3415253.7194024003</v>
      </c>
      <c r="R12" s="25">
        <f>14647452-R21</f>
        <v>14392792</v>
      </c>
      <c r="S12" s="32">
        <f t="shared" si="20"/>
        <v>237.28917359483833</v>
      </c>
      <c r="T12" s="45">
        <f t="shared" si="9"/>
        <v>6.9545478779260941E-2</v>
      </c>
      <c r="U12" s="46">
        <f t="shared" si="10"/>
        <v>2.1619201680952521E-2</v>
      </c>
      <c r="V12">
        <f t="shared" si="17"/>
        <v>2.5120515746969274E-2</v>
      </c>
      <c r="W12">
        <v>1256.6999999999998</v>
      </c>
      <c r="X12">
        <v>5863.9000000000005</v>
      </c>
      <c r="Y12" s="49">
        <f t="shared" si="21"/>
        <v>0.15525432924253399</v>
      </c>
      <c r="Z12" s="51">
        <f>(R12-$R$3)/$R$3</f>
        <v>9.3675957056279957E-2</v>
      </c>
      <c r="AA12" s="49">
        <f t="shared" si="15"/>
        <v>0.22760881291459542</v>
      </c>
      <c r="AB12" s="33">
        <f t="shared" si="13"/>
        <v>40.466101672067786</v>
      </c>
      <c r="AC12">
        <f t="shared" si="14"/>
        <v>0.18881926760152651</v>
      </c>
      <c r="AD12" s="38">
        <f t="shared" si="5"/>
        <v>0.24205846472026565</v>
      </c>
      <c r="AE12" s="49">
        <f t="shared" si="18"/>
        <v>8.7334603612432476E-2</v>
      </c>
      <c r="AF12" s="49">
        <f t="shared" si="16"/>
        <v>8.4508299349688301E-2</v>
      </c>
    </row>
    <row r="13" spans="1:32" x14ac:dyDescent="0.35">
      <c r="A13">
        <v>2014</v>
      </c>
      <c r="B13" s="7">
        <v>130430592</v>
      </c>
      <c r="C13" s="7">
        <v>184154948</v>
      </c>
      <c r="D13" s="8">
        <f t="shared" ref="D13:D19" si="22">B13+C13</f>
        <v>314585540</v>
      </c>
      <c r="E13" s="9">
        <v>118447.1</v>
      </c>
      <c r="F13" s="9">
        <f t="shared" si="1"/>
        <v>628336.68257599999</v>
      </c>
      <c r="G13" s="9"/>
      <c r="H13" s="10">
        <v>2912203.0550000002</v>
      </c>
      <c r="I13" s="11"/>
      <c r="J13" s="25">
        <v>7302</v>
      </c>
      <c r="K13" s="26">
        <f t="shared" si="2"/>
        <v>1007.676</v>
      </c>
      <c r="L13" s="26">
        <v>50485.146000000183</v>
      </c>
      <c r="M13" s="26"/>
      <c r="N13" s="7">
        <f t="shared" si="7"/>
        <v>3592032.5595760006</v>
      </c>
      <c r="O13" s="9"/>
      <c r="P13" s="7"/>
      <c r="Q13" s="10">
        <f t="shared" si="19"/>
        <v>3592436.7010812005</v>
      </c>
      <c r="R13" s="25">
        <f>14770711-R21</f>
        <v>14516051</v>
      </c>
      <c r="S13" s="32">
        <f t="shared" si="20"/>
        <v>247.48030308526751</v>
      </c>
      <c r="T13" s="45">
        <f t="shared" si="9"/>
        <v>7.2532327985131151E-2</v>
      </c>
      <c r="U13" s="46">
        <f t="shared" si="10"/>
        <v>2.1671564807811714E-2</v>
      </c>
      <c r="V13">
        <f t="shared" si="17"/>
        <v>2.2327607429704837E-2</v>
      </c>
      <c r="W13">
        <v>1149.5</v>
      </c>
      <c r="X13">
        <v>6810</v>
      </c>
      <c r="Y13" s="49">
        <f t="shared" si="21"/>
        <v>0.11142901815224818</v>
      </c>
      <c r="Z13" s="51">
        <f>(R13-$R$3)/$R$3</f>
        <v>0.10304213179088322</v>
      </c>
      <c r="AA13" s="49">
        <f t="shared" si="15"/>
        <v>0.19443604533484068</v>
      </c>
      <c r="AB13" s="33">
        <f t="shared" si="13"/>
        <v>36.340719983152354</v>
      </c>
      <c r="AC13">
        <f t="shared" si="14"/>
        <v>0.21529386958265986</v>
      </c>
      <c r="AD13" s="38">
        <f>($AB$3-AB13)/$AB$3</f>
        <v>0.31932803114034353</v>
      </c>
      <c r="AE13" s="49">
        <f t="shared" si="18"/>
        <v>3.998562473911204E-2</v>
      </c>
      <c r="AF13" s="49">
        <f t="shared" si="16"/>
        <v>4.5189630371258852E-2</v>
      </c>
    </row>
    <row r="14" spans="1:32" x14ac:dyDescent="0.35">
      <c r="A14">
        <v>2015</v>
      </c>
      <c r="B14" s="7">
        <v>112708986</v>
      </c>
      <c r="C14" s="7">
        <v>194549595</v>
      </c>
      <c r="D14" s="8">
        <f t="shared" si="22"/>
        <v>307258581</v>
      </c>
      <c r="E14" s="9">
        <v>113836.9</v>
      </c>
      <c r="F14" s="9">
        <f t="shared" si="1"/>
        <v>663803.21814000001</v>
      </c>
      <c r="G14" s="9"/>
      <c r="H14" s="10">
        <v>2631063</v>
      </c>
      <c r="I14" s="11"/>
      <c r="J14" s="25">
        <v>6999</v>
      </c>
      <c r="K14" s="26">
        <f t="shared" si="2"/>
        <v>965.86200000000008</v>
      </c>
      <c r="L14" s="26">
        <v>44203.5044047271</v>
      </c>
      <c r="M14" s="35"/>
      <c r="N14" s="7">
        <f t="shared" ref="N14:N19" si="23">F14+H14+K14+L14</f>
        <v>3340035.5845447271</v>
      </c>
      <c r="O14" s="9"/>
      <c r="P14" s="7"/>
      <c r="Q14" s="10">
        <f t="shared" si="19"/>
        <v>3340423.9960475271</v>
      </c>
      <c r="R14" s="25">
        <v>14832105</v>
      </c>
      <c r="S14" s="32">
        <f t="shared" si="20"/>
        <v>225.21577321948078</v>
      </c>
      <c r="T14" s="45">
        <f t="shared" si="9"/>
        <v>6.6006967532086985E-2</v>
      </c>
      <c r="U14" s="46">
        <f t="shared" si="10"/>
        <v>2.0715777093001972E-2</v>
      </c>
      <c r="V14">
        <f t="shared" si="17"/>
        <v>2.3343861863862388E-2</v>
      </c>
      <c r="W14">
        <v>958</v>
      </c>
      <c r="X14">
        <v>6107.4</v>
      </c>
      <c r="Y14" s="49">
        <f t="shared" si="21"/>
        <v>0.17376308145877309</v>
      </c>
      <c r="Z14" s="51">
        <f>(R14-$R$3)/$R$3</f>
        <v>0.12705836581493257</v>
      </c>
      <c r="AA14" s="49">
        <f t="shared" si="15"/>
        <v>0.26690849063188776</v>
      </c>
      <c r="AB14" s="33">
        <f>S14/X14*1000</f>
        <v>36.875883881763237</v>
      </c>
      <c r="AC14">
        <f>S14/W14</f>
        <v>0.23508953363202587</v>
      </c>
      <c r="AD14" s="38">
        <f>($AB$3-AB14)/$AB$3</f>
        <v>0.30930425988047427</v>
      </c>
      <c r="AE14" s="49">
        <f t="shared" si="18"/>
        <v>0.10733150713361438</v>
      </c>
      <c r="AF14" s="49">
        <f t="shared" si="16"/>
        <v>0.1310890079206613</v>
      </c>
    </row>
    <row r="15" spans="1:32" s="42" customFormat="1" x14ac:dyDescent="0.35">
      <c r="A15" s="42">
        <v>2016</v>
      </c>
      <c r="B15" s="7">
        <v>95852865</v>
      </c>
      <c r="C15" s="7">
        <v>184664752</v>
      </c>
      <c r="D15" s="8">
        <f t="shared" si="22"/>
        <v>280517617</v>
      </c>
      <c r="E15" s="9">
        <v>112429.07</v>
      </c>
      <c r="F15" s="9">
        <f t="shared" si="1"/>
        <v>630076.13382400002</v>
      </c>
      <c r="G15" s="9"/>
      <c r="H15" s="10">
        <v>2324377.298</v>
      </c>
      <c r="I15" s="11"/>
      <c r="J15" s="53">
        <v>6999</v>
      </c>
      <c r="K15" s="26">
        <f t="shared" si="2"/>
        <v>965.86200000000008</v>
      </c>
      <c r="L15" s="26">
        <v>41712.521782439901</v>
      </c>
      <c r="M15" s="26"/>
      <c r="N15" s="7">
        <f t="shared" si="23"/>
        <v>2997131.8156064404</v>
      </c>
      <c r="O15" s="9"/>
      <c r="P15" s="7"/>
      <c r="Q15" s="10">
        <f t="shared" si="19"/>
        <v>2997515.4235932799</v>
      </c>
      <c r="R15" s="25">
        <v>14841729</v>
      </c>
      <c r="S15" s="32">
        <f>1000*Q15/R15</f>
        <v>201.96537907364296</v>
      </c>
      <c r="T15" s="45">
        <f>S15/$B$28/1000000</f>
        <v>5.9192666785944592E-2</v>
      </c>
      <c r="U15" s="46">
        <f>D15/R15/1000</f>
        <v>1.8900602281580536E-2</v>
      </c>
      <c r="V15" s="42">
        <f>H15/B15</f>
        <v>2.4249429560608333E-2</v>
      </c>
      <c r="W15" s="42">
        <v>1258</v>
      </c>
      <c r="X15" s="42">
        <v>4880</v>
      </c>
      <c r="Y15" s="49">
        <f>($Q$3-Q15)/$Q$3</f>
        <v>0.25857977616016548</v>
      </c>
      <c r="Z15" s="51">
        <f>(R15-$R$3)/$R$3</f>
        <v>0.12778967197225838</v>
      </c>
      <c r="AA15" s="49">
        <f>($T$3-T15)/$T$3</f>
        <v>0.3425899861777843</v>
      </c>
      <c r="AB15" s="33">
        <f>S15/X15*1000</f>
        <v>41.386348170828477</v>
      </c>
      <c r="AC15" s="42">
        <f>S15/W15</f>
        <v>0.16054481643373844</v>
      </c>
      <c r="AD15" s="38">
        <f>($AB$3-AB15)/$AB$3</f>
        <v>0.2248219873902062</v>
      </c>
      <c r="AE15" s="49">
        <f>($Q$7-Q15)/$Q$7</f>
        <v>0.19896768233948228</v>
      </c>
      <c r="AF15" s="49">
        <f>($T$7-T15)/$T$7</f>
        <v>0.22079197478971596</v>
      </c>
    </row>
    <row r="16" spans="1:32" x14ac:dyDescent="0.35">
      <c r="A16">
        <v>2017</v>
      </c>
      <c r="B16" s="52">
        <v>67617928</v>
      </c>
      <c r="C16" s="7">
        <v>246508945</v>
      </c>
      <c r="D16" s="8">
        <f t="shared" si="22"/>
        <v>314126873</v>
      </c>
      <c r="E16" s="9">
        <f>57513.36+62775.38</f>
        <v>120288.73999999999</v>
      </c>
      <c r="F16" s="9">
        <f t="shared" si="1"/>
        <v>841088.52034000005</v>
      </c>
      <c r="G16" s="9"/>
      <c r="H16" s="10">
        <v>2099662</v>
      </c>
      <c r="I16" s="11"/>
      <c r="J16" s="25">
        <v>6424</v>
      </c>
      <c r="K16" s="26">
        <f t="shared" si="2"/>
        <v>886.51200000000006</v>
      </c>
      <c r="L16" s="26">
        <v>25284</v>
      </c>
      <c r="M16" s="31"/>
      <c r="N16" s="7">
        <f t="shared" si="23"/>
        <v>2966921.0323400004</v>
      </c>
      <c r="O16" s="9"/>
      <c r="P16" s="7"/>
      <c r="Q16" s="10">
        <f t="shared" si="19"/>
        <v>2967331.4575208803</v>
      </c>
      <c r="R16" s="25">
        <v>14802873</v>
      </c>
      <c r="S16" s="32">
        <f t="shared" si="20"/>
        <v>200.45645581914269</v>
      </c>
      <c r="T16" s="45">
        <f t="shared" si="9"/>
        <v>5.8750426676184839E-2</v>
      </c>
      <c r="U16" s="46">
        <f t="shared" si="10"/>
        <v>2.122066932547486E-2</v>
      </c>
      <c r="V16">
        <f t="shared" si="17"/>
        <v>3.1051853585339084E-2</v>
      </c>
      <c r="W16" s="72">
        <v>1450</v>
      </c>
      <c r="X16" s="72">
        <v>5126</v>
      </c>
      <c r="Y16" s="49">
        <f t="shared" si="21"/>
        <v>0.26604562694632944</v>
      </c>
      <c r="Z16" s="51">
        <f>(R16-$R$3)/$R$3</f>
        <v>0.12483709175103523</v>
      </c>
      <c r="AA16" s="49">
        <f t="shared" si="15"/>
        <v>0.34750162629228126</v>
      </c>
      <c r="AB16" s="33">
        <f>S16/X16*1000</f>
        <v>39.105824389220189</v>
      </c>
      <c r="AC16">
        <f>S16/W16</f>
        <v>0.13824583159940876</v>
      </c>
      <c r="AD16" s="38">
        <f>($AB$3-AB16)/$AB$3</f>
        <v>0.26753684315471021</v>
      </c>
      <c r="AE16" s="49">
        <f t="shared" si="18"/>
        <v>0.20703380673999558</v>
      </c>
      <c r="AF16" s="49">
        <f>($T$7-T16)/$T$7</f>
        <v>0.22661359191402672</v>
      </c>
    </row>
    <row r="17" spans="1:32" s="42" customFormat="1" x14ac:dyDescent="0.35">
      <c r="A17" s="42">
        <v>2018</v>
      </c>
      <c r="B17" s="52">
        <v>78415798</v>
      </c>
      <c r="C17" s="7">
        <v>225457617</v>
      </c>
      <c r="D17" s="8">
        <f t="shared" si="22"/>
        <v>303873415</v>
      </c>
      <c r="E17" s="26">
        <v>121444</v>
      </c>
      <c r="F17" s="9">
        <f t="shared" si="1"/>
        <v>769261.38920400001</v>
      </c>
      <c r="G17" s="26"/>
      <c r="H17" s="10">
        <v>2310471</v>
      </c>
      <c r="I17" s="26"/>
      <c r="J17" s="26">
        <v>6411</v>
      </c>
      <c r="K17" s="26">
        <f t="shared" si="2"/>
        <v>884.71800000000007</v>
      </c>
      <c r="L17" s="26">
        <v>53971</v>
      </c>
      <c r="M17" s="31"/>
      <c r="N17" s="7">
        <f t="shared" si="23"/>
        <v>3134588.107204</v>
      </c>
      <c r="O17" s="9"/>
      <c r="P17" s="7"/>
      <c r="Q17" s="10">
        <f t="shared" si="19"/>
        <v>3135002.474132</v>
      </c>
      <c r="R17" s="78">
        <v>14802873</v>
      </c>
      <c r="S17" s="32">
        <f t="shared" si="20"/>
        <v>211.78337976229344</v>
      </c>
      <c r="T17" s="45">
        <f t="shared" si="9"/>
        <v>6.2070158195279439E-2</v>
      </c>
      <c r="U17" s="46">
        <f t="shared" si="10"/>
        <v>2.0528002570852293E-2</v>
      </c>
      <c r="V17" s="42">
        <f t="shared" si="17"/>
        <v>2.9464356149254516E-2</v>
      </c>
      <c r="W17" s="72">
        <v>1174</v>
      </c>
      <c r="X17" s="72">
        <v>5908</v>
      </c>
      <c r="Y17" s="49">
        <f t="shared" si="21"/>
        <v>0.22457305213026846</v>
      </c>
      <c r="Z17" s="51">
        <f t="shared" ref="Z17:Z19" si="24">(R17-$R$3)/$R$3</f>
        <v>0.12483709175103523</v>
      </c>
      <c r="AA17" s="49">
        <f t="shared" si="15"/>
        <v>0.31063177632005046</v>
      </c>
      <c r="AB17" s="33">
        <f t="shared" ref="AB17:AB19" si="25">S17/X17*1000</f>
        <v>35.846882153401054</v>
      </c>
      <c r="AD17" s="67">
        <f t="shared" ref="AD17:AD19" si="26">($AB$3-AB17)/$AB$3</f>
        <v>0.32857775343616025</v>
      </c>
      <c r="AE17" s="49">
        <f t="shared" si="18"/>
        <v>0.1622267301914132</v>
      </c>
      <c r="AF17" s="49">
        <f t="shared" ref="AF17:AF19" si="27">($T$7-T17)/$T$7</f>
        <v>0.18291288401086006</v>
      </c>
    </row>
    <row r="18" spans="1:32" s="42" customFormat="1" ht="13.5" customHeight="1" x14ac:dyDescent="0.35">
      <c r="A18" s="42">
        <v>2019</v>
      </c>
      <c r="B18" s="69">
        <v>127046498</v>
      </c>
      <c r="C18" s="70">
        <v>177678835</v>
      </c>
      <c r="D18" s="8">
        <f t="shared" si="22"/>
        <v>304725333</v>
      </c>
      <c r="E18" s="9">
        <v>97758</v>
      </c>
      <c r="F18" s="9">
        <f t="shared" si="1"/>
        <v>606240.18501999998</v>
      </c>
      <c r="G18" s="9"/>
      <c r="H18" s="10">
        <v>2649147</v>
      </c>
      <c r="I18" s="11"/>
      <c r="J18" s="25">
        <v>22648</v>
      </c>
      <c r="K18" s="26">
        <f t="shared" si="2"/>
        <v>3125.4240000000004</v>
      </c>
      <c r="L18" s="26">
        <v>66009.64</v>
      </c>
      <c r="M18" s="31"/>
      <c r="N18" s="7">
        <f t="shared" si="23"/>
        <v>3324522.24902</v>
      </c>
      <c r="O18" s="9"/>
      <c r="P18" s="7"/>
      <c r="Q18" s="10">
        <f t="shared" si="19"/>
        <v>3324855.7993160002</v>
      </c>
      <c r="R18" s="78">
        <v>15304485</v>
      </c>
      <c r="S18" s="32">
        <f t="shared" si="20"/>
        <v>217.24715332244111</v>
      </c>
      <c r="T18" s="45">
        <f t="shared" si="9"/>
        <v>6.3671498629085901E-2</v>
      </c>
      <c r="U18" s="46">
        <f t="shared" si="10"/>
        <v>1.9910851818927589E-2</v>
      </c>
      <c r="V18" s="42">
        <f t="shared" si="17"/>
        <v>2.0851790814415051E-2</v>
      </c>
      <c r="W18" s="72">
        <v>1145</v>
      </c>
      <c r="X18" s="72">
        <v>6243</v>
      </c>
      <c r="Y18" s="49">
        <f t="shared" si="21"/>
        <v>0.17761379589200679</v>
      </c>
      <c r="Z18" s="51">
        <f t="shared" si="24"/>
        <v>0.16295346167918501</v>
      </c>
      <c r="AA18" s="49">
        <f t="shared" si="15"/>
        <v>0.29284684967483376</v>
      </c>
      <c r="AB18" s="33">
        <f t="shared" si="25"/>
        <v>34.798518872728032</v>
      </c>
      <c r="AD18" s="67">
        <f t="shared" si="26"/>
        <v>0.34821389434549549</v>
      </c>
      <c r="AE18" s="49">
        <f t="shared" si="18"/>
        <v>0.1114918289159459</v>
      </c>
      <c r="AF18" s="49">
        <f t="shared" si="27"/>
        <v>0.16183295325477526</v>
      </c>
    </row>
    <row r="19" spans="1:32" s="42" customFormat="1" ht="13.5" customHeight="1" x14ac:dyDescent="0.35">
      <c r="A19" s="71">
        <v>2020</v>
      </c>
      <c r="B19" s="73">
        <v>122198064</v>
      </c>
      <c r="C19" s="74">
        <v>149762928</v>
      </c>
      <c r="D19" s="8">
        <f t="shared" si="22"/>
        <v>271960992</v>
      </c>
      <c r="E19" s="75">
        <v>101749</v>
      </c>
      <c r="F19" s="9">
        <f t="shared" si="1"/>
        <v>510991.11033600004</v>
      </c>
      <c r="G19" s="9"/>
      <c r="H19" s="77">
        <v>2590434</v>
      </c>
      <c r="I19" s="11"/>
      <c r="J19" s="76">
        <v>21627</v>
      </c>
      <c r="K19" s="26">
        <f t="shared" si="2"/>
        <v>2984.5260000000003</v>
      </c>
      <c r="L19" s="26">
        <v>17601</v>
      </c>
      <c r="M19" s="31"/>
      <c r="N19" s="7">
        <f t="shared" si="23"/>
        <v>3122010.6363360002</v>
      </c>
      <c r="O19" s="9"/>
      <c r="P19" s="7"/>
      <c r="Q19" s="10">
        <f t="shared" si="19"/>
        <v>3122357.8039240004</v>
      </c>
      <c r="R19" s="78">
        <v>15142675</v>
      </c>
      <c r="S19" s="32">
        <f t="shared" si="20"/>
        <v>206.19592006854802</v>
      </c>
      <c r="T19" s="45">
        <f t="shared" si="9"/>
        <v>6.0432567429234467E-2</v>
      </c>
      <c r="U19" s="46">
        <f t="shared" si="10"/>
        <v>1.7959904178092706E-2</v>
      </c>
      <c r="V19" s="42">
        <f t="shared" si="17"/>
        <v>2.1198650086633124E-2</v>
      </c>
      <c r="W19" s="72">
        <v>1228</v>
      </c>
      <c r="X19" s="72">
        <v>5695</v>
      </c>
      <c r="Y19" s="49">
        <f t="shared" si="21"/>
        <v>0.22770064711850629</v>
      </c>
      <c r="Z19" s="51">
        <f t="shared" si="24"/>
        <v>0.1506578829887352</v>
      </c>
      <c r="AA19" s="49">
        <f t="shared" si="15"/>
        <v>0.32881930911079121</v>
      </c>
      <c r="AB19" s="33">
        <f t="shared" si="25"/>
        <v>36.206482891755577</v>
      </c>
      <c r="AD19" s="67">
        <f t="shared" si="26"/>
        <v>0.32184232984816763</v>
      </c>
      <c r="AE19" s="49">
        <f t="shared" si="18"/>
        <v>0.16560579186463889</v>
      </c>
      <c r="AF19" s="49">
        <f t="shared" si="27"/>
        <v>0.20447001154368297</v>
      </c>
    </row>
    <row r="20" spans="1:32" x14ac:dyDescent="0.35">
      <c r="A20" t="s">
        <v>25</v>
      </c>
      <c r="O20" s="30"/>
      <c r="Q20" t="s">
        <v>1</v>
      </c>
    </row>
    <row r="21" spans="1:32" x14ac:dyDescent="0.35">
      <c r="A21" t="s">
        <v>26</v>
      </c>
      <c r="R21" s="39">
        <v>254660</v>
      </c>
      <c r="S21" t="s">
        <v>48</v>
      </c>
    </row>
    <row r="22" spans="1:32" x14ac:dyDescent="0.35">
      <c r="A22" s="79" t="s">
        <v>27</v>
      </c>
      <c r="B22" s="79"/>
      <c r="C22" s="79"/>
      <c r="D22" s="79"/>
      <c r="E22" s="79"/>
      <c r="F22" s="79"/>
      <c r="G22" s="79"/>
      <c r="H22" s="79"/>
      <c r="I22" s="79"/>
      <c r="J22" s="79"/>
      <c r="K22" s="79"/>
      <c r="L22" s="79"/>
      <c r="M22" s="79"/>
      <c r="N22" s="79"/>
      <c r="R22">
        <f>E16*B28</f>
        <v>410.42518087999997</v>
      </c>
    </row>
    <row r="23" spans="1:32" x14ac:dyDescent="0.35">
      <c r="A23" s="79"/>
      <c r="B23" s="79"/>
      <c r="C23" s="79"/>
      <c r="D23" s="79"/>
      <c r="E23" s="79"/>
      <c r="F23" s="79"/>
      <c r="G23" s="79"/>
      <c r="H23" s="79"/>
      <c r="I23" s="79"/>
      <c r="J23" s="79"/>
      <c r="K23" s="79"/>
      <c r="L23" s="79"/>
      <c r="M23" s="79"/>
      <c r="N23" s="79"/>
    </row>
    <row r="24" spans="1:32" x14ac:dyDescent="0.35">
      <c r="A24" s="15" t="s">
        <v>28</v>
      </c>
      <c r="B24" s="37"/>
      <c r="C24" s="37"/>
      <c r="D24" s="37"/>
      <c r="E24" s="37"/>
      <c r="F24" s="37"/>
      <c r="G24" s="37"/>
      <c r="H24" s="37"/>
      <c r="I24" s="37"/>
      <c r="J24" s="37"/>
      <c r="K24" s="37"/>
      <c r="L24" s="37"/>
      <c r="M24" s="37"/>
      <c r="N24" s="37"/>
    </row>
    <row r="25" spans="1:32" x14ac:dyDescent="0.35">
      <c r="A25" t="s">
        <v>69</v>
      </c>
      <c r="M25">
        <f>M14/B28</f>
        <v>0</v>
      </c>
    </row>
    <row r="26" spans="1:32" s="42" customFormat="1" x14ac:dyDescent="0.35">
      <c r="A26" s="42" t="s">
        <v>80</v>
      </c>
    </row>
    <row r="28" spans="1:32" x14ac:dyDescent="0.35">
      <c r="A28" t="s">
        <v>29</v>
      </c>
      <c r="B28">
        <v>3.4120000000000001E-3</v>
      </c>
      <c r="C28" t="s">
        <v>30</v>
      </c>
      <c r="D28" t="s">
        <v>31</v>
      </c>
      <c r="E28">
        <v>0.13800000000000001</v>
      </c>
      <c r="F28" t="s">
        <v>30</v>
      </c>
    </row>
    <row r="51" spans="14:14" x14ac:dyDescent="0.35">
      <c r="N51" t="s">
        <v>44</v>
      </c>
    </row>
  </sheetData>
  <mergeCells count="1">
    <mergeCell ref="A22:N23"/>
  </mergeCells>
  <pageMargins left="0.7" right="0.7" top="0.75" bottom="0.75" header="0.3" footer="0.3"/>
  <pageSetup scale="92" fitToWidth="2" fitToHeight="0" orientation="landscape" verticalDpi="597"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
  <sheetViews>
    <sheetView topLeftCell="A7" workbookViewId="0">
      <selection activeCell="C3" sqref="C3:E3"/>
    </sheetView>
  </sheetViews>
  <sheetFormatPr defaultRowHeight="14.5" x14ac:dyDescent="0.35"/>
  <cols>
    <col min="2" max="2" width="18.54296875" bestFit="1" customWidth="1"/>
    <col min="12" max="12" width="9.81640625" bestFit="1" customWidth="1"/>
  </cols>
  <sheetData>
    <row r="1" spans="1:14" ht="32" thickBot="1" x14ac:dyDescent="0.4">
      <c r="C1" s="55" t="s">
        <v>71</v>
      </c>
      <c r="D1" s="56" t="s">
        <v>72</v>
      </c>
      <c r="E1" s="57" t="s">
        <v>73</v>
      </c>
      <c r="F1" s="58" t="s">
        <v>74</v>
      </c>
      <c r="G1" s="63" t="s">
        <v>75</v>
      </c>
      <c r="H1" s="65" t="s">
        <v>76</v>
      </c>
      <c r="I1" t="s">
        <v>77</v>
      </c>
    </row>
    <row r="2" spans="1:14" ht="59" thickTop="1" thickBot="1" x14ac:dyDescent="0.4">
      <c r="B2" t="s">
        <v>70</v>
      </c>
      <c r="C2" s="59" t="s">
        <v>30</v>
      </c>
      <c r="D2" s="60" t="s">
        <v>30</v>
      </c>
      <c r="E2" s="61" t="s">
        <v>30</v>
      </c>
      <c r="F2" s="62" t="s">
        <v>30</v>
      </c>
      <c r="G2" s="64" t="s">
        <v>30</v>
      </c>
      <c r="H2" s="66" t="s">
        <v>79</v>
      </c>
      <c r="I2" s="1" t="s">
        <v>77</v>
      </c>
      <c r="J2" s="1" t="s">
        <v>40</v>
      </c>
      <c r="K2" s="1" t="s">
        <v>41</v>
      </c>
      <c r="L2" s="1" t="s">
        <v>18</v>
      </c>
      <c r="M2" s="68" t="s">
        <v>78</v>
      </c>
      <c r="N2" s="1" t="s">
        <v>77</v>
      </c>
    </row>
    <row r="3" spans="1:14" ht="15" thickTop="1" x14ac:dyDescent="0.35">
      <c r="A3">
        <f>[1]S_Energy_Sum!B25</f>
        <v>2004</v>
      </c>
      <c r="B3">
        <v>4719605.7710433239</v>
      </c>
      <c r="C3">
        <v>2021306.9916432325</v>
      </c>
      <c r="D3">
        <v>1721961.6738805778</v>
      </c>
      <c r="E3">
        <v>73436</v>
      </c>
      <c r="F3">
        <v>23830.426452380951</v>
      </c>
      <c r="G3">
        <v>226105.93273793461</v>
      </c>
      <c r="H3">
        <f>SUM(C3:G3)</f>
        <v>4066641.0247141258</v>
      </c>
      <c r="J3" s="42">
        <v>946.69999999999993</v>
      </c>
      <c r="K3" s="42">
        <v>5754.2</v>
      </c>
      <c r="L3" s="7">
        <v>13160015</v>
      </c>
      <c r="M3">
        <f>1000*B3/L3</f>
        <v>358.63224859875339</v>
      </c>
      <c r="N3" s="42"/>
    </row>
    <row r="4" spans="1:14" x14ac:dyDescent="0.35">
      <c r="A4">
        <f>[1]S_Energy_Sum!B26</f>
        <v>2005</v>
      </c>
      <c r="B4">
        <v>4479562.325674965</v>
      </c>
      <c r="C4">
        <v>1760616.8835568661</v>
      </c>
      <c r="D4">
        <v>1659849.898943133</v>
      </c>
      <c r="E4">
        <v>70689</v>
      </c>
      <c r="F4">
        <v>23822.524380952382</v>
      </c>
      <c r="G4">
        <v>272898.42158599413</v>
      </c>
      <c r="H4" s="42">
        <f t="shared" ref="H4:H15" si="0">SUM(C4:G4)</f>
        <v>3787876.7284669457</v>
      </c>
      <c r="I4" s="67">
        <f>($H$3 -H4)/$H$3</f>
        <v>6.8549029666757091E-2</v>
      </c>
      <c r="J4" s="42">
        <v>959</v>
      </c>
      <c r="K4" s="42">
        <v>5568.6999999999989</v>
      </c>
      <c r="L4" s="7">
        <v>13133404</v>
      </c>
      <c r="M4" s="42">
        <f t="shared" ref="M4:M15" si="1">1000*B4/L4</f>
        <v>341.08159055146439</v>
      </c>
      <c r="N4" s="67">
        <f>($M$3 -M4)/$M$3</f>
        <v>4.8937757593922104E-2</v>
      </c>
    </row>
    <row r="5" spans="1:14" x14ac:dyDescent="0.35">
      <c r="A5">
        <f>[1]S_Energy_Sum!B27</f>
        <v>2006</v>
      </c>
      <c r="B5">
        <v>4337678.3092408543</v>
      </c>
      <c r="C5">
        <v>1301255.47871182</v>
      </c>
      <c r="D5">
        <v>1738450.2822215136</v>
      </c>
      <c r="E5">
        <v>54825</v>
      </c>
      <c r="F5">
        <v>26892.621307987709</v>
      </c>
      <c r="G5">
        <v>468149.00243401766</v>
      </c>
      <c r="H5" s="42">
        <f t="shared" si="0"/>
        <v>3589572.3846753389</v>
      </c>
      <c r="I5" s="67">
        <f t="shared" ref="I5:I15" si="2">($H$3 -H5)/$H$3</f>
        <v>0.1173127003685612</v>
      </c>
      <c r="J5" s="42">
        <v>1251.8</v>
      </c>
      <c r="K5" s="42">
        <v>5496.0999999999995</v>
      </c>
      <c r="L5" s="7">
        <f>13622489-$R$18</f>
        <v>13622489</v>
      </c>
      <c r="M5" s="42">
        <f t="shared" si="1"/>
        <v>318.42039360361048</v>
      </c>
      <c r="N5" s="67">
        <f t="shared" ref="N5:N15" si="3">($M$3 -M5)/$M$3</f>
        <v>0.11212559704895064</v>
      </c>
    </row>
    <row r="6" spans="1:14" x14ac:dyDescent="0.35">
      <c r="A6">
        <f>[1]S_Energy_Sum!B28</f>
        <v>2007</v>
      </c>
      <c r="B6">
        <v>4478703.8681191374</v>
      </c>
      <c r="C6">
        <v>1580065.7953883291</v>
      </c>
      <c r="D6">
        <v>1661193.0797116712</v>
      </c>
      <c r="E6">
        <v>47724</v>
      </c>
      <c r="F6">
        <v>23750.69125</v>
      </c>
      <c r="G6">
        <v>404395.04370803729</v>
      </c>
      <c r="H6" s="42">
        <f t="shared" si="0"/>
        <v>3717128.6100580376</v>
      </c>
      <c r="I6" s="67">
        <f t="shared" si="2"/>
        <v>8.5946217660226851E-2</v>
      </c>
      <c r="J6" s="42">
        <v>1155.9000000000001</v>
      </c>
      <c r="K6" s="42">
        <v>5624.1</v>
      </c>
      <c r="L6" s="7">
        <f>13983619-L18</f>
        <v>13983619</v>
      </c>
      <c r="M6" s="42">
        <f t="shared" si="1"/>
        <v>320.28217217010399</v>
      </c>
      <c r="N6" s="67">
        <f t="shared" si="3"/>
        <v>0.10693426644840412</v>
      </c>
    </row>
    <row r="7" spans="1:14" x14ac:dyDescent="0.35">
      <c r="A7">
        <f>[1]S_Energy_Sum!B29</f>
        <v>2008</v>
      </c>
      <c r="B7">
        <v>4550810.8761277432</v>
      </c>
      <c r="C7">
        <v>1382312.8445762973</v>
      </c>
      <c r="D7">
        <v>1812463.5388237028</v>
      </c>
      <c r="E7">
        <v>65296</v>
      </c>
      <c r="F7">
        <v>21743.127190476192</v>
      </c>
      <c r="G7">
        <v>481631.13148399553</v>
      </c>
      <c r="H7" s="42">
        <f t="shared" si="0"/>
        <v>3763446.6420744718</v>
      </c>
      <c r="I7" s="67">
        <f t="shared" si="2"/>
        <v>7.4556465839265409E-2</v>
      </c>
      <c r="J7" s="42">
        <v>1085.5999999999999</v>
      </c>
      <c r="K7" s="42">
        <v>6025.0000000000009</v>
      </c>
      <c r="L7" s="7">
        <f>14692023-L18</f>
        <v>14692023</v>
      </c>
      <c r="M7" s="42">
        <f t="shared" si="1"/>
        <v>309.74705635348806</v>
      </c>
      <c r="N7" s="67">
        <f t="shared" si="3"/>
        <v>0.13631008487460169</v>
      </c>
    </row>
    <row r="8" spans="1:14" x14ac:dyDescent="0.35">
      <c r="A8">
        <f>[1]S_Energy_Sum!B30</f>
        <v>2009</v>
      </c>
      <c r="B8">
        <v>4392693.1614583526</v>
      </c>
      <c r="C8">
        <v>1632525.6406862957</v>
      </c>
      <c r="D8">
        <v>1329597.9812279902</v>
      </c>
      <c r="E8">
        <v>59946.1</v>
      </c>
      <c r="F8">
        <v>21425.455947619048</v>
      </c>
      <c r="G8">
        <v>602396.18248459371</v>
      </c>
      <c r="H8" s="42">
        <f t="shared" si="0"/>
        <v>3645891.3603464989</v>
      </c>
      <c r="I8" s="67">
        <f t="shared" si="2"/>
        <v>0.10346368460127471</v>
      </c>
      <c r="J8" s="42">
        <v>910.19999999999993</v>
      </c>
      <c r="K8" s="42">
        <v>6276.4</v>
      </c>
      <c r="L8" s="7">
        <f>14655095-L18</f>
        <v>14655095</v>
      </c>
      <c r="M8" s="42">
        <f t="shared" si="1"/>
        <v>299.73829316414208</v>
      </c>
      <c r="N8" s="67">
        <f t="shared" si="3"/>
        <v>0.16421823654933868</v>
      </c>
    </row>
    <row r="9" spans="1:14" x14ac:dyDescent="0.35">
      <c r="A9">
        <f>[1]S_Energy_Sum!B31</f>
        <v>2010</v>
      </c>
      <c r="B9">
        <v>4166589.7346667484</v>
      </c>
      <c r="C9">
        <v>1447778.5810773775</v>
      </c>
      <c r="D9">
        <v>1307785.7089797652</v>
      </c>
      <c r="E9">
        <v>49005.121600000108</v>
      </c>
      <c r="F9">
        <v>21466.920047619049</v>
      </c>
      <c r="G9">
        <v>611140.02254066139</v>
      </c>
      <c r="H9" s="42">
        <f t="shared" si="0"/>
        <v>3437176.3542454233</v>
      </c>
      <c r="I9" s="67">
        <f t="shared" si="2"/>
        <v>0.15478737037355103</v>
      </c>
      <c r="J9" s="42">
        <v>825.69999999999993</v>
      </c>
      <c r="K9" s="42">
        <v>5761.3</v>
      </c>
      <c r="L9" s="7">
        <f>14641390-L18</f>
        <v>14641390</v>
      </c>
      <c r="M9" s="42">
        <f t="shared" si="1"/>
        <v>284.57610477330013</v>
      </c>
      <c r="N9" s="67">
        <f t="shared" si="3"/>
        <v>0.20649605303149718</v>
      </c>
    </row>
    <row r="10" spans="1:14" x14ac:dyDescent="0.35">
      <c r="A10">
        <f>[1]S_Energy_Sum!B32</f>
        <v>2011</v>
      </c>
      <c r="B10">
        <v>4217816.7976458445</v>
      </c>
      <c r="C10">
        <v>1540965.748345494</v>
      </c>
      <c r="D10">
        <v>1369531.4652735535</v>
      </c>
      <c r="E10">
        <v>40212.60329999961</v>
      </c>
      <c r="F10">
        <v>21184.232304761907</v>
      </c>
      <c r="G10">
        <v>600192.27139705454</v>
      </c>
      <c r="H10" s="42">
        <f t="shared" si="0"/>
        <v>3572086.3206208642</v>
      </c>
      <c r="I10" s="67">
        <f t="shared" si="2"/>
        <v>0.12161257929768401</v>
      </c>
      <c r="J10" s="42">
        <v>1200</v>
      </c>
      <c r="K10" s="42">
        <v>6021.5</v>
      </c>
      <c r="L10" s="7">
        <f>14641390-L18</f>
        <v>14641390</v>
      </c>
      <c r="M10" s="42">
        <f t="shared" si="1"/>
        <v>288.07488890370684</v>
      </c>
      <c r="N10" s="67">
        <f t="shared" si="3"/>
        <v>0.19674014250176333</v>
      </c>
    </row>
    <row r="11" spans="1:14" x14ac:dyDescent="0.35">
      <c r="A11">
        <f>[1]S_Energy_Sum!B33</f>
        <v>2012</v>
      </c>
      <c r="B11">
        <v>3990622.1055640886</v>
      </c>
      <c r="C11">
        <v>1335522.603468847</v>
      </c>
      <c r="D11">
        <v>1349278.0930073434</v>
      </c>
      <c r="E11">
        <v>36826.715900000054</v>
      </c>
      <c r="F11">
        <v>16944.650047619049</v>
      </c>
      <c r="G11">
        <v>594717.23829638865</v>
      </c>
      <c r="H11" s="42">
        <f t="shared" si="0"/>
        <v>3333289.3007201981</v>
      </c>
      <c r="I11" s="67">
        <f t="shared" si="2"/>
        <v>0.18033352822074586</v>
      </c>
      <c r="J11" s="42">
        <v>1346.3</v>
      </c>
      <c r="K11" s="42">
        <v>4768.3</v>
      </c>
      <c r="L11" s="25">
        <f>14644990-L18</f>
        <v>14644990</v>
      </c>
      <c r="M11" s="42">
        <f t="shared" si="1"/>
        <v>272.49059955411974</v>
      </c>
      <c r="N11" s="67">
        <f t="shared" si="3"/>
        <v>0.24019493333688197</v>
      </c>
    </row>
    <row r="12" spans="1:14" x14ac:dyDescent="0.35">
      <c r="A12">
        <f>[1]S_Energy_Sum!B34</f>
        <v>2013</v>
      </c>
      <c r="B12">
        <v>4097149.5538725462</v>
      </c>
      <c r="C12">
        <v>1120148.6367357436</v>
      </c>
      <c r="D12">
        <v>1550975.0951213993</v>
      </c>
      <c r="E12">
        <v>44792.792999999969</v>
      </c>
      <c r="F12">
        <v>19660.779680952382</v>
      </c>
      <c r="G12">
        <v>698388.3258355757</v>
      </c>
      <c r="H12" s="42">
        <f t="shared" si="0"/>
        <v>3433965.6303736712</v>
      </c>
      <c r="I12" s="67">
        <f t="shared" si="2"/>
        <v>0.15557689761538027</v>
      </c>
      <c r="J12" s="42">
        <v>1256.6999999999998</v>
      </c>
      <c r="K12" s="42">
        <v>5863.9000000000005</v>
      </c>
      <c r="L12" s="25">
        <f>14647452-L18</f>
        <v>14647452</v>
      </c>
      <c r="M12" s="42">
        <f t="shared" si="1"/>
        <v>279.71756138013262</v>
      </c>
      <c r="N12" s="67">
        <f t="shared" si="3"/>
        <v>0.22004347776017341</v>
      </c>
    </row>
    <row r="13" spans="1:14" x14ac:dyDescent="0.35">
      <c r="A13">
        <f>[1]S_Energy_Sum!B35</f>
        <v>2014</v>
      </c>
      <c r="B13">
        <v>4212273.9202608019</v>
      </c>
      <c r="C13">
        <v>1376764.6245703853</v>
      </c>
      <c r="D13">
        <v>1536442.1077153289</v>
      </c>
      <c r="E13">
        <v>50485.146000000183</v>
      </c>
      <c r="F13">
        <v>19161.091357142857</v>
      </c>
      <c r="G13">
        <v>627878.25470939442</v>
      </c>
      <c r="H13" s="42">
        <f t="shared" si="0"/>
        <v>3610731.2243522517</v>
      </c>
      <c r="I13" s="67">
        <f t="shared" si="2"/>
        <v>0.11210967419823423</v>
      </c>
      <c r="J13" s="42">
        <v>1149.5</v>
      </c>
      <c r="K13" s="42">
        <v>6810</v>
      </c>
      <c r="L13" s="25">
        <f>14770711-L18</f>
        <v>14770711</v>
      </c>
      <c r="M13" s="42">
        <f t="shared" si="1"/>
        <v>285.17746506994837</v>
      </c>
      <c r="N13" s="67">
        <f t="shared" si="3"/>
        <v>0.2048192370201154</v>
      </c>
    </row>
    <row r="14" spans="1:14" x14ac:dyDescent="0.35">
      <c r="A14">
        <f>[1]S_Energy_Sum!B36</f>
        <v>2015</v>
      </c>
      <c r="B14">
        <v>3951412.1043061973</v>
      </c>
      <c r="C14">
        <v>1186059.3396335056</v>
      </c>
      <c r="D14">
        <v>1445966.6895807802</v>
      </c>
      <c r="E14">
        <v>44203.5044047271</v>
      </c>
      <c r="F14">
        <v>18188.686285714284</v>
      </c>
      <c r="G14">
        <v>663318.9142602866</v>
      </c>
      <c r="H14" s="42">
        <f t="shared" si="0"/>
        <v>3357737.1341650132</v>
      </c>
      <c r="I14" s="67">
        <f t="shared" si="2"/>
        <v>0.1743217279914562</v>
      </c>
      <c r="J14" s="42">
        <v>958</v>
      </c>
      <c r="K14" s="42">
        <v>6107.4</v>
      </c>
      <c r="L14" s="25">
        <v>14832105</v>
      </c>
      <c r="M14" s="42">
        <f t="shared" si="1"/>
        <v>266.40939396708677</v>
      </c>
      <c r="N14" s="67">
        <f t="shared" si="3"/>
        <v>0.25715159468229482</v>
      </c>
    </row>
    <row r="15" spans="1:14" x14ac:dyDescent="0.35">
      <c r="A15">
        <f>[1]S_Energy_Sum!B37</f>
        <v>2016</v>
      </c>
      <c r="B15">
        <v>3556893.3632075205</v>
      </c>
      <c r="C15">
        <v>1016092.8288302388</v>
      </c>
      <c r="D15">
        <v>1308698.7506459514</v>
      </c>
      <c r="E15">
        <v>41712.521782439871</v>
      </c>
      <c r="F15">
        <v>16419.158367649525</v>
      </c>
      <c r="G15">
        <v>629616.43687197135</v>
      </c>
      <c r="H15" s="42">
        <f t="shared" si="0"/>
        <v>3012539.6964982511</v>
      </c>
      <c r="I15" s="67">
        <f t="shared" si="2"/>
        <v>0.25920687904582757</v>
      </c>
      <c r="J15" s="42">
        <v>1258</v>
      </c>
      <c r="K15" s="42">
        <v>4880</v>
      </c>
      <c r="L15" s="25">
        <v>14841729</v>
      </c>
      <c r="M15" s="42">
        <f t="shared" si="1"/>
        <v>239.65491912751679</v>
      </c>
      <c r="N15" s="67">
        <f t="shared" si="3"/>
        <v>0.33175301422586617</v>
      </c>
    </row>
    <row r="16" spans="1:14" x14ac:dyDescent="0.35">
      <c r="J16" s="54">
        <v>1450</v>
      </c>
      <c r="K16" s="54">
        <v>5126</v>
      </c>
      <c r="L16" s="53">
        <v>14841729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5"/>
  <sheetViews>
    <sheetView workbookViewId="0">
      <selection activeCell="K16" sqref="K16"/>
    </sheetView>
  </sheetViews>
  <sheetFormatPr defaultRowHeight="14.5" x14ac:dyDescent="0.35"/>
  <cols>
    <col min="2" max="2" width="11.26953125" bestFit="1" customWidth="1"/>
  </cols>
  <sheetData>
    <row r="2" spans="1:9" x14ac:dyDescent="0.35">
      <c r="A2" t="s">
        <v>49</v>
      </c>
      <c r="B2" t="s">
        <v>50</v>
      </c>
      <c r="C2" t="s">
        <v>51</v>
      </c>
      <c r="E2" t="s">
        <v>62</v>
      </c>
    </row>
    <row r="3" spans="1:9" s="42" customFormat="1" x14ac:dyDescent="0.35"/>
    <row r="4" spans="1:9" s="42" customFormat="1" x14ac:dyDescent="0.35">
      <c r="A4" s="42">
        <v>2013</v>
      </c>
      <c r="B4" s="42">
        <v>93073</v>
      </c>
      <c r="C4" s="44">
        <f>B4*$E$4</f>
        <v>696186.04</v>
      </c>
      <c r="E4" s="42">
        <v>7.48</v>
      </c>
    </row>
    <row r="5" spans="1:9" x14ac:dyDescent="0.35">
      <c r="A5">
        <v>2014</v>
      </c>
      <c r="B5" s="40">
        <v>113795.60000000002</v>
      </c>
      <c r="C5" s="44">
        <f>B5*$E$4</f>
        <v>851191.08800000022</v>
      </c>
    </row>
    <row r="6" spans="1:9" x14ac:dyDescent="0.35">
      <c r="A6">
        <v>2015</v>
      </c>
      <c r="B6" s="41">
        <v>67325.110000000015</v>
      </c>
      <c r="C6" s="44">
        <f>B6*$E$4</f>
        <v>503591.82280000014</v>
      </c>
    </row>
    <row r="7" spans="1:9" x14ac:dyDescent="0.35">
      <c r="A7">
        <v>2016</v>
      </c>
      <c r="B7" s="43">
        <v>100240.24064171124</v>
      </c>
      <c r="C7" s="44">
        <f>B7*$E$4</f>
        <v>749797.00000000012</v>
      </c>
    </row>
    <row r="10" spans="1:9" x14ac:dyDescent="0.35">
      <c r="B10" t="s">
        <v>52</v>
      </c>
    </row>
    <row r="12" spans="1:9" x14ac:dyDescent="0.35">
      <c r="B12" t="s">
        <v>53</v>
      </c>
      <c r="C12" t="s">
        <v>54</v>
      </c>
      <c r="D12" t="s">
        <v>55</v>
      </c>
      <c r="E12" t="s">
        <v>56</v>
      </c>
      <c r="F12" t="s">
        <v>57</v>
      </c>
      <c r="G12" t="s">
        <v>58</v>
      </c>
    </row>
    <row r="13" spans="1:9" x14ac:dyDescent="0.35">
      <c r="A13" t="s">
        <v>59</v>
      </c>
      <c r="B13">
        <v>165916.12400000001</v>
      </c>
      <c r="C13">
        <v>280537.92359999998</v>
      </c>
      <c r="D13">
        <v>477086.21840000001</v>
      </c>
      <c r="E13">
        <v>141860.818</v>
      </c>
      <c r="G13">
        <f>(B13-E13)/B13</f>
        <v>0.14498473939760073</v>
      </c>
    </row>
    <row r="14" spans="1:9" x14ac:dyDescent="0.35">
      <c r="A14" t="s">
        <v>60</v>
      </c>
      <c r="B14">
        <v>439048.54840000003</v>
      </c>
      <c r="C14">
        <v>415645.57319999998</v>
      </c>
      <c r="D14">
        <v>376797.66960000002</v>
      </c>
      <c r="E14">
        <v>362411.38559999998</v>
      </c>
      <c r="G14">
        <f>(B14-E14)/B14</f>
        <v>0.17455282127519736</v>
      </c>
    </row>
    <row r="15" spans="1:9" x14ac:dyDescent="0.35">
      <c r="A15" t="s">
        <v>61</v>
      </c>
      <c r="B15">
        <f>SUM(B13:B14)</f>
        <v>604964.67240000004</v>
      </c>
      <c r="C15">
        <f>SUM(C13:C14)</f>
        <v>696183.49679999996</v>
      </c>
      <c r="D15">
        <f>SUM(D13:D14)</f>
        <v>853883.88800000004</v>
      </c>
      <c r="E15">
        <f>SUM(E13:E14)</f>
        <v>504272.20360000001</v>
      </c>
      <c r="F15">
        <v>749797</v>
      </c>
      <c r="G15">
        <f>(B15-E15)/B15</f>
        <v>0.16644355182020051</v>
      </c>
      <c r="H15">
        <f>B15-E15</f>
        <v>100692.46880000003</v>
      </c>
      <c r="I15">
        <f>H15*7.63</f>
        <v>768283.53694400028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7"/>
  <sheetViews>
    <sheetView zoomScale="75" zoomScaleNormal="75" workbookViewId="0">
      <pane ySplit="2" topLeftCell="A6" activePane="bottomLeft" state="frozen"/>
      <selection pane="bottomLeft" activeCell="M12" sqref="M12"/>
    </sheetView>
  </sheetViews>
  <sheetFormatPr defaultRowHeight="14.5" x14ac:dyDescent="0.35"/>
  <cols>
    <col min="1" max="1" width="6.7265625" customWidth="1"/>
    <col min="2" max="4" width="12.7265625" bestFit="1" customWidth="1"/>
    <col min="5" max="5" width="8.54296875" customWidth="1"/>
    <col min="6" max="6" width="9.54296875" customWidth="1"/>
    <col min="7" max="7" width="10.453125" bestFit="1" customWidth="1"/>
    <col min="8" max="8" width="12.1796875" bestFit="1" customWidth="1"/>
    <col min="9" max="9" width="10.453125" customWidth="1"/>
    <col min="10" max="10" width="8.453125" customWidth="1"/>
    <col min="11" max="11" width="8.26953125" customWidth="1"/>
    <col min="12" max="12" width="9.453125" bestFit="1" customWidth="1"/>
    <col min="13" max="13" width="8.26953125" bestFit="1" customWidth="1"/>
    <col min="14" max="15" width="10.453125" bestFit="1" customWidth="1"/>
    <col min="16" max="16" width="10.1796875" hidden="1" customWidth="1"/>
    <col min="17" max="17" width="10.1796875" customWidth="1"/>
    <col min="18" max="18" width="11.54296875" bestFit="1" customWidth="1"/>
    <col min="20" max="20" width="8.26953125" customWidth="1"/>
    <col min="21" max="21" width="13.81640625" bestFit="1" customWidth="1"/>
    <col min="22" max="22" width="8.453125" customWidth="1"/>
    <col min="23" max="23" width="8.1796875" customWidth="1"/>
  </cols>
  <sheetData>
    <row r="1" spans="1:25" x14ac:dyDescent="0.35">
      <c r="A1" t="s">
        <v>0</v>
      </c>
      <c r="O1" t="s">
        <v>1</v>
      </c>
    </row>
    <row r="2" spans="1:25" ht="69" customHeight="1" x14ac:dyDescent="0.35">
      <c r="A2" s="1" t="s">
        <v>2</v>
      </c>
      <c r="B2" s="1" t="s">
        <v>3</v>
      </c>
      <c r="C2" s="1" t="s">
        <v>4</v>
      </c>
      <c r="D2" s="2" t="s">
        <v>5</v>
      </c>
      <c r="E2" s="3" t="s">
        <v>6</v>
      </c>
      <c r="F2" s="3" t="s">
        <v>7</v>
      </c>
      <c r="G2" s="3" t="s">
        <v>8</v>
      </c>
      <c r="H2" s="4" t="s">
        <v>9</v>
      </c>
      <c r="I2" s="5" t="s">
        <v>10</v>
      </c>
      <c r="J2" s="1" t="s">
        <v>11</v>
      </c>
      <c r="K2" s="3" t="s">
        <v>12</v>
      </c>
      <c r="L2" s="3" t="s">
        <v>13</v>
      </c>
      <c r="M2" s="3" t="s">
        <v>14</v>
      </c>
      <c r="N2" s="1" t="s">
        <v>15</v>
      </c>
      <c r="O2" s="3" t="s">
        <v>16</v>
      </c>
      <c r="P2" s="1" t="s">
        <v>17</v>
      </c>
      <c r="Q2" s="4" t="s">
        <v>16</v>
      </c>
      <c r="R2" s="1" t="s">
        <v>18</v>
      </c>
      <c r="S2" s="6" t="s">
        <v>19</v>
      </c>
      <c r="T2" s="1" t="s">
        <v>20</v>
      </c>
      <c r="U2" s="1" t="s">
        <v>21</v>
      </c>
      <c r="V2" s="1" t="s">
        <v>22</v>
      </c>
      <c r="W2" s="1" t="s">
        <v>23</v>
      </c>
      <c r="X2" s="1" t="s">
        <v>24</v>
      </c>
      <c r="Y2" s="1" t="s">
        <v>39</v>
      </c>
    </row>
    <row r="3" spans="1:25" x14ac:dyDescent="0.35">
      <c r="A3">
        <v>2004</v>
      </c>
      <c r="B3" s="7">
        <v>262145457</v>
      </c>
      <c r="C3" s="7">
        <v>66316242</v>
      </c>
      <c r="D3" s="8">
        <f t="shared" ref="D3:D11" si="0">B3+C3</f>
        <v>328461699</v>
      </c>
      <c r="E3" s="9"/>
      <c r="F3" s="9">
        <f>C3*$B$17</f>
        <v>226271.017704</v>
      </c>
      <c r="G3" s="9">
        <v>3823671</v>
      </c>
      <c r="H3" s="10">
        <v>3733098.6630000006</v>
      </c>
      <c r="I3" s="11">
        <f>(G3-H3)/G3</f>
        <v>2.3687272519000553E-2</v>
      </c>
      <c r="J3" s="7">
        <v>73417</v>
      </c>
      <c r="K3" s="9">
        <f>J3*$E$17</f>
        <v>10131.546</v>
      </c>
      <c r="L3" s="9">
        <v>73436</v>
      </c>
      <c r="M3" s="9"/>
      <c r="N3" s="7">
        <f>F3+G3</f>
        <v>4049942.0177039998</v>
      </c>
      <c r="O3" s="9">
        <f t="shared" ref="O3:O9" si="1">F3+G3+E3*B17+M3+K3+L3</f>
        <v>4133509.5637039999</v>
      </c>
      <c r="P3" s="7">
        <v>14063190</v>
      </c>
      <c r="Q3" s="10">
        <f t="shared" ref="Q3:Q8" si="2">F3+H3+E3*E17+K3+L3+M3</f>
        <v>4042937.2267040005</v>
      </c>
      <c r="R3" s="7">
        <v>13160015</v>
      </c>
      <c r="S3" s="12">
        <f>1000000*O3/R3</f>
        <v>314096.11339379172</v>
      </c>
      <c r="T3" s="7">
        <f t="shared" ref="T3:T11" si="3">D3/R3</f>
        <v>24.959067219908185</v>
      </c>
      <c r="U3">
        <f>G3/B3</f>
        <v>1.4586066238790473E-2</v>
      </c>
      <c r="V3">
        <v>782</v>
      </c>
      <c r="W3">
        <v>6114</v>
      </c>
      <c r="X3">
        <v>0</v>
      </c>
      <c r="Y3">
        <v>0</v>
      </c>
    </row>
    <row r="4" spans="1:25" x14ac:dyDescent="0.35">
      <c r="A4">
        <v>2005</v>
      </c>
      <c r="B4" s="7">
        <v>239502234</v>
      </c>
      <c r="C4" s="7">
        <v>80040349</v>
      </c>
      <c r="D4" s="8">
        <f t="shared" si="0"/>
        <v>319542583</v>
      </c>
      <c r="E4" s="9"/>
      <c r="F4" s="9">
        <f t="shared" ref="F4:F9" si="4">C4*$B$17</f>
        <v>273097.67078799999</v>
      </c>
      <c r="G4" s="9">
        <v>3495919</v>
      </c>
      <c r="H4" s="10">
        <v>3411481</v>
      </c>
      <c r="I4" s="11">
        <f t="shared" ref="I4:I9" si="5">(G4-H4)/G4</f>
        <v>2.4153305611485848E-2</v>
      </c>
      <c r="J4" s="7">
        <v>64869</v>
      </c>
      <c r="K4" s="9">
        <f t="shared" ref="K4:K11" si="6">J4*$E$17</f>
        <v>8951.9220000000005</v>
      </c>
      <c r="L4" s="9">
        <v>70689</v>
      </c>
      <c r="M4" s="9"/>
      <c r="N4" s="7">
        <f t="shared" ref="N4:N9" si="7">F4+G4</f>
        <v>3769016.6707879999</v>
      </c>
      <c r="O4" s="9">
        <f t="shared" si="1"/>
        <v>3848657.5927879997</v>
      </c>
      <c r="P4" s="7">
        <v>14431675</v>
      </c>
      <c r="Q4" s="10">
        <f t="shared" si="2"/>
        <v>3764219.5927879997</v>
      </c>
      <c r="R4" s="7">
        <v>13133404</v>
      </c>
      <c r="S4" s="12">
        <f t="shared" ref="S4:S9" si="8">1000000*O4/R4</f>
        <v>293043.41759287991</v>
      </c>
      <c r="T4" s="7">
        <f t="shared" si="3"/>
        <v>24.330522612416399</v>
      </c>
      <c r="U4">
        <f t="shared" ref="U4:U10" si="9">G4/B4</f>
        <v>1.4596602885967236E-2</v>
      </c>
      <c r="V4">
        <v>762</v>
      </c>
      <c r="W4">
        <v>5987</v>
      </c>
      <c r="X4" s="13">
        <f t="shared" ref="X4:X9" si="10">($Q$3-Q4)/$Q$3</f>
        <v>6.89393919042431E-2</v>
      </c>
      <c r="Y4" s="13">
        <f t="shared" ref="Y4:Y11" si="11">(R4-$R$3)/$R$3</f>
        <v>-2.0221101571692738E-3</v>
      </c>
    </row>
    <row r="5" spans="1:25" x14ac:dyDescent="0.35">
      <c r="A5">
        <v>2006</v>
      </c>
      <c r="B5" s="7">
        <v>174148396</v>
      </c>
      <c r="C5" s="7">
        <v>137306802</v>
      </c>
      <c r="D5" s="8">
        <f t="shared" si="0"/>
        <v>311455198</v>
      </c>
      <c r="E5" s="9"/>
      <c r="F5" s="9">
        <f t="shared" si="4"/>
        <v>468490.80842399999</v>
      </c>
      <c r="G5" s="9">
        <v>2961686</v>
      </c>
      <c r="H5" s="10">
        <v>3037415</v>
      </c>
      <c r="I5" s="11">
        <f t="shared" si="5"/>
        <v>-2.5569557339974597E-2</v>
      </c>
      <c r="J5" s="7">
        <v>16583</v>
      </c>
      <c r="K5" s="9">
        <f t="shared" si="6"/>
        <v>2288.4540000000002</v>
      </c>
      <c r="L5" s="9">
        <v>54825</v>
      </c>
      <c r="M5" s="9"/>
      <c r="N5" s="7">
        <f t="shared" si="7"/>
        <v>3430176.8084240002</v>
      </c>
      <c r="O5" s="9">
        <f t="shared" si="1"/>
        <v>3487290.2624240001</v>
      </c>
      <c r="P5" s="7">
        <v>14501696</v>
      </c>
      <c r="Q5" s="10">
        <f t="shared" si="2"/>
        <v>3563019.2624240001</v>
      </c>
      <c r="R5" s="7">
        <v>13622489</v>
      </c>
      <c r="S5" s="12">
        <f t="shared" si="8"/>
        <v>255995.08741934018</v>
      </c>
      <c r="T5" s="7">
        <f t="shared" si="3"/>
        <v>22.863310662243883</v>
      </c>
      <c r="U5">
        <f t="shared" si="9"/>
        <v>1.7006679751446003E-2</v>
      </c>
      <c r="V5">
        <v>941</v>
      </c>
      <c r="W5">
        <v>5695</v>
      </c>
      <c r="X5" s="13">
        <f t="shared" si="10"/>
        <v>0.11870527227335977</v>
      </c>
      <c r="Y5" s="13">
        <f t="shared" si="11"/>
        <v>3.514236115992269E-2</v>
      </c>
    </row>
    <row r="6" spans="1:25" x14ac:dyDescent="0.35">
      <c r="A6">
        <v>2007</v>
      </c>
      <c r="B6" s="7">
        <v>222191264</v>
      </c>
      <c r="C6" s="7">
        <v>118607943</v>
      </c>
      <c r="D6" s="8">
        <f t="shared" si="0"/>
        <v>340799207</v>
      </c>
      <c r="E6" s="9"/>
      <c r="F6" s="9">
        <f t="shared" si="4"/>
        <v>404690.30151600001</v>
      </c>
      <c r="G6" s="9">
        <v>3267894</v>
      </c>
      <c r="H6" s="10">
        <v>3236113</v>
      </c>
      <c r="I6" s="11">
        <f t="shared" si="5"/>
        <v>9.7252236455650024E-3</v>
      </c>
      <c r="J6" s="7">
        <v>37359</v>
      </c>
      <c r="K6" s="9">
        <f t="shared" si="6"/>
        <v>5155.5420000000004</v>
      </c>
      <c r="L6" s="9">
        <v>47724</v>
      </c>
      <c r="M6" s="9"/>
      <c r="N6" s="7">
        <f t="shared" si="7"/>
        <v>3672584.3015160002</v>
      </c>
      <c r="O6" s="9">
        <f t="shared" si="1"/>
        <v>3725463.8435160001</v>
      </c>
      <c r="P6" s="7">
        <v>14888519.870000001</v>
      </c>
      <c r="Q6" s="10">
        <f t="shared" si="2"/>
        <v>3693682.8435160001</v>
      </c>
      <c r="R6" s="7">
        <v>13983619</v>
      </c>
      <c r="S6" s="12">
        <f t="shared" si="8"/>
        <v>266416.28633589059</v>
      </c>
      <c r="T6" s="7">
        <f t="shared" si="3"/>
        <v>24.371316681325485</v>
      </c>
      <c r="U6">
        <f t="shared" si="9"/>
        <v>1.4707571941262281E-2</v>
      </c>
      <c r="V6">
        <v>907</v>
      </c>
      <c r="W6">
        <v>6182</v>
      </c>
      <c r="X6" s="13">
        <f t="shared" si="10"/>
        <v>8.6386298773362263E-2</v>
      </c>
      <c r="Y6" s="13">
        <f t="shared" si="11"/>
        <v>6.2583819243367117E-2</v>
      </c>
    </row>
    <row r="7" spans="1:25" x14ac:dyDescent="0.35">
      <c r="A7">
        <v>2008</v>
      </c>
      <c r="B7" s="7">
        <v>186085556</v>
      </c>
      <c r="C7" s="7">
        <v>141261073</v>
      </c>
      <c r="D7" s="8">
        <f t="shared" si="0"/>
        <v>327346629</v>
      </c>
      <c r="E7" s="9"/>
      <c r="F7" s="9">
        <f t="shared" si="4"/>
        <v>481982.78107600001</v>
      </c>
      <c r="G7" s="9">
        <v>3257287</v>
      </c>
      <c r="H7" s="10">
        <v>3190944</v>
      </c>
      <c r="I7" s="11">
        <f t="shared" si="5"/>
        <v>2.0367563558261831E-2</v>
      </c>
      <c r="J7" s="7">
        <v>27846</v>
      </c>
      <c r="K7" s="9">
        <f t="shared" si="6"/>
        <v>3842.7480000000005</v>
      </c>
      <c r="L7" s="9">
        <v>65296</v>
      </c>
      <c r="M7" s="9">
        <v>0</v>
      </c>
      <c r="N7" s="7">
        <f t="shared" si="7"/>
        <v>3739269.7810760001</v>
      </c>
      <c r="O7" s="9">
        <f t="shared" si="1"/>
        <v>3808408.5290760002</v>
      </c>
      <c r="P7" s="7">
        <v>14692023</v>
      </c>
      <c r="Q7" s="10">
        <f t="shared" si="2"/>
        <v>3742065.5290760002</v>
      </c>
      <c r="R7" s="7">
        <v>14692023</v>
      </c>
      <c r="S7" s="12">
        <f t="shared" si="8"/>
        <v>259216.0745375909</v>
      </c>
      <c r="T7" s="7">
        <f t="shared" si="3"/>
        <v>22.280568782120746</v>
      </c>
      <c r="U7">
        <f t="shared" si="9"/>
        <v>1.7504244123063478E-2</v>
      </c>
      <c r="V7">
        <v>883</v>
      </c>
      <c r="W7">
        <v>6562</v>
      </c>
      <c r="X7" s="13">
        <f t="shared" si="10"/>
        <v>7.4419087103483314E-2</v>
      </c>
      <c r="Y7" s="13">
        <f t="shared" si="11"/>
        <v>0.11641384907236048</v>
      </c>
    </row>
    <row r="8" spans="1:25" x14ac:dyDescent="0.35">
      <c r="A8">
        <v>2009</v>
      </c>
      <c r="B8" s="7">
        <v>161143518</v>
      </c>
      <c r="C8" s="7">
        <v>176681127</v>
      </c>
      <c r="D8" s="8">
        <f t="shared" si="0"/>
        <v>337824645</v>
      </c>
      <c r="E8" s="9"/>
      <c r="F8" s="9">
        <f t="shared" si="4"/>
        <v>602836.00532400003</v>
      </c>
      <c r="G8" s="9">
        <v>3156244</v>
      </c>
      <c r="H8" s="10">
        <v>2960088</v>
      </c>
      <c r="I8" s="11">
        <f t="shared" si="5"/>
        <v>6.2148553787349771E-2</v>
      </c>
      <c r="J8" s="7">
        <v>14789</v>
      </c>
      <c r="K8" s="9">
        <f t="shared" si="6"/>
        <v>2040.8820000000001</v>
      </c>
      <c r="L8" s="9">
        <v>59946.1</v>
      </c>
      <c r="M8" s="9">
        <v>0</v>
      </c>
      <c r="N8" s="7">
        <f t="shared" si="7"/>
        <v>3759080.005324</v>
      </c>
      <c r="O8" s="9">
        <f t="shared" si="1"/>
        <v>3821066.9873240003</v>
      </c>
      <c r="P8" s="7">
        <v>14655095</v>
      </c>
      <c r="Q8" s="10">
        <f t="shared" si="2"/>
        <v>3624910.9873240003</v>
      </c>
      <c r="R8" s="7">
        <v>14655095</v>
      </c>
      <c r="S8" s="12">
        <f t="shared" si="8"/>
        <v>260733.00700705117</v>
      </c>
      <c r="T8" s="7">
        <f t="shared" si="3"/>
        <v>23.051685778904879</v>
      </c>
      <c r="U8">
        <f t="shared" si="9"/>
        <v>1.9586540241724151E-2</v>
      </c>
      <c r="V8">
        <v>690</v>
      </c>
      <c r="W8">
        <v>6908</v>
      </c>
      <c r="X8" s="13">
        <f t="shared" si="10"/>
        <v>0.10339666829821038</v>
      </c>
      <c r="Y8" s="13">
        <f t="shared" si="11"/>
        <v>0.11360777324341956</v>
      </c>
    </row>
    <row r="9" spans="1:25" x14ac:dyDescent="0.35">
      <c r="A9">
        <v>2010</v>
      </c>
      <c r="B9" s="7">
        <f>136774662</f>
        <v>136774662</v>
      </c>
      <c r="C9" s="7">
        <v>179245671</v>
      </c>
      <c r="D9" s="8">
        <f t="shared" si="0"/>
        <v>316020333</v>
      </c>
      <c r="E9" s="9">
        <v>30400</v>
      </c>
      <c r="F9" s="9">
        <f t="shared" si="4"/>
        <v>611586.229452</v>
      </c>
      <c r="G9" s="9">
        <v>2783831.1610000003</v>
      </c>
      <c r="H9" s="10">
        <v>2755406</v>
      </c>
      <c r="I9" s="11">
        <f t="shared" si="5"/>
        <v>1.0210806387334749E-2</v>
      </c>
      <c r="J9" s="7">
        <v>1153</v>
      </c>
      <c r="K9" s="9">
        <f t="shared" si="6"/>
        <v>159.114</v>
      </c>
      <c r="L9" s="9">
        <v>49005.121600000108</v>
      </c>
      <c r="M9" s="9">
        <v>2032</v>
      </c>
      <c r="N9" s="7">
        <f t="shared" si="7"/>
        <v>3395417.3904520003</v>
      </c>
      <c r="O9" s="9">
        <f t="shared" si="1"/>
        <v>3446613.6260520006</v>
      </c>
      <c r="P9" s="7">
        <v>14641390</v>
      </c>
      <c r="Q9" s="10">
        <f>F9+H9+E9*E23+K9+L9</f>
        <v>3416156.4650520002</v>
      </c>
      <c r="R9" s="7">
        <v>14641390</v>
      </c>
      <c r="S9" s="12">
        <f t="shared" si="8"/>
        <v>235402.0776751388</v>
      </c>
      <c r="T9" s="7">
        <f t="shared" si="3"/>
        <v>21.58403901542135</v>
      </c>
      <c r="U9" s="14">
        <f t="shared" si="9"/>
        <v>2.0353412834608214E-2</v>
      </c>
      <c r="V9">
        <v>623</v>
      </c>
      <c r="W9">
        <v>6300</v>
      </c>
      <c r="X9" s="13">
        <f t="shared" si="10"/>
        <v>0.15503103968868259</v>
      </c>
      <c r="Y9" s="13">
        <f t="shared" si="11"/>
        <v>0.11256636105657934</v>
      </c>
    </row>
    <row r="10" spans="1:25" x14ac:dyDescent="0.35">
      <c r="A10">
        <v>2011</v>
      </c>
      <c r="B10" s="7">
        <v>139014807</v>
      </c>
      <c r="C10" s="7">
        <v>176034726</v>
      </c>
      <c r="D10" s="8">
        <f t="shared" si="0"/>
        <v>315049533</v>
      </c>
      <c r="E10" s="9">
        <v>60683</v>
      </c>
      <c r="F10" s="9">
        <f>C10*$B$17</f>
        <v>600630.48511200002</v>
      </c>
      <c r="G10" s="9" t="s">
        <v>1</v>
      </c>
      <c r="H10" s="10">
        <v>2909118.95</v>
      </c>
      <c r="I10" s="11"/>
      <c r="J10" s="25">
        <v>10022</v>
      </c>
      <c r="K10" s="26">
        <f t="shared" si="6"/>
        <v>1383.0360000000001</v>
      </c>
      <c r="L10" s="9">
        <v>40212.60329999961</v>
      </c>
      <c r="M10" s="28">
        <v>2378</v>
      </c>
      <c r="N10" s="7">
        <f>F10+H10</f>
        <v>3509749.4351120004</v>
      </c>
      <c r="O10" s="9"/>
      <c r="P10" s="7"/>
      <c r="Q10" s="10">
        <f>F10+H10+E10*E24+K10+L10</f>
        <v>3551345.0744119999</v>
      </c>
      <c r="R10" s="7">
        <v>14707886</v>
      </c>
      <c r="S10" s="12">
        <f>1000000*Q10/R10</f>
        <v>241458.56681320484</v>
      </c>
      <c r="T10" s="7">
        <f t="shared" si="3"/>
        <v>21.420449750562387</v>
      </c>
      <c r="U10" s="14" t="e">
        <f t="shared" si="9"/>
        <v>#VALUE!</v>
      </c>
      <c r="V10">
        <v>939</v>
      </c>
      <c r="W10">
        <v>6680</v>
      </c>
      <c r="X10" s="13">
        <f>($Q$3-Q10)/$Q$3</f>
        <v>0.12159282341684302</v>
      </c>
      <c r="Y10" s="13">
        <f t="shared" si="11"/>
        <v>0.11761924283520954</v>
      </c>
    </row>
    <row r="11" spans="1:25" x14ac:dyDescent="0.35">
      <c r="A11">
        <v>2012</v>
      </c>
      <c r="B11" s="7">
        <v>142295453</v>
      </c>
      <c r="C11" s="7">
        <v>174428914</v>
      </c>
      <c r="D11" s="8">
        <f t="shared" si="0"/>
        <v>316724367</v>
      </c>
      <c r="E11" s="9">
        <v>112357</v>
      </c>
      <c r="F11" s="9">
        <f>C11*$B$17</f>
        <v>595151.45456800004</v>
      </c>
      <c r="G11" s="9"/>
      <c r="H11" s="10">
        <v>2683538.94</v>
      </c>
      <c r="I11" s="11"/>
      <c r="J11" s="25">
        <v>9178</v>
      </c>
      <c r="K11" s="26">
        <f t="shared" si="6"/>
        <v>1266.5640000000001</v>
      </c>
      <c r="L11" s="7">
        <v>36826.720000000001</v>
      </c>
      <c r="M11" s="28">
        <v>2814</v>
      </c>
      <c r="N11" s="7"/>
      <c r="O11" s="9"/>
      <c r="P11" s="7"/>
      <c r="Q11" s="10">
        <f>F11+H11+E11*E25+K11+L11</f>
        <v>3316783.678568</v>
      </c>
      <c r="R11" s="27">
        <v>14707886</v>
      </c>
      <c r="S11" s="12">
        <f>1000000*Q11/R11</f>
        <v>225510.56477919396</v>
      </c>
      <c r="T11" s="7">
        <f t="shared" si="3"/>
        <v>21.534322947567041</v>
      </c>
      <c r="U11" s="14"/>
      <c r="V11">
        <v>1025</v>
      </c>
      <c r="W11">
        <v>5170</v>
      </c>
      <c r="X11" s="13">
        <f>($Q$3-Q11)/$Q$3</f>
        <v>0.17961039398279163</v>
      </c>
      <c r="Y11" s="13">
        <f t="shared" si="11"/>
        <v>0.11761924283520954</v>
      </c>
    </row>
    <row r="12" spans="1:25" x14ac:dyDescent="0.35">
      <c r="A12" t="s">
        <v>25</v>
      </c>
      <c r="O12" s="9">
        <f>(B9+E9)*B17+M9</f>
        <v>468810.87154399999</v>
      </c>
      <c r="Q12" t="s">
        <v>38</v>
      </c>
    </row>
    <row r="13" spans="1:25" x14ac:dyDescent="0.35">
      <c r="A13" t="s">
        <v>26</v>
      </c>
      <c r="O13">
        <f>O12/Q9</f>
        <v>0.13723343071081021</v>
      </c>
    </row>
    <row r="14" spans="1:25" x14ac:dyDescent="0.35">
      <c r="A14" s="79" t="s">
        <v>27</v>
      </c>
      <c r="B14" s="79"/>
      <c r="C14" s="79"/>
      <c r="D14" s="79"/>
      <c r="E14" s="79"/>
      <c r="F14" s="79"/>
      <c r="G14" s="79"/>
      <c r="H14" s="79"/>
      <c r="I14" s="79"/>
      <c r="J14" s="79"/>
      <c r="K14" s="79"/>
      <c r="L14" s="79"/>
      <c r="M14" s="79"/>
      <c r="N14" s="79"/>
    </row>
    <row r="15" spans="1:25" x14ac:dyDescent="0.35">
      <c r="A15" s="79"/>
      <c r="B15" s="79"/>
      <c r="C15" s="79"/>
      <c r="D15" s="79"/>
      <c r="E15" s="79"/>
      <c r="F15" s="79"/>
      <c r="G15" s="79"/>
      <c r="H15" s="79"/>
      <c r="I15" s="79"/>
      <c r="J15" s="79"/>
      <c r="K15" s="79"/>
      <c r="L15" s="79"/>
      <c r="M15" s="79"/>
      <c r="N15" s="79"/>
    </row>
    <row r="16" spans="1:25" x14ac:dyDescent="0.35">
      <c r="A16" s="15" t="s">
        <v>28</v>
      </c>
      <c r="B16" s="24"/>
      <c r="C16" s="24"/>
      <c r="D16" s="24"/>
      <c r="E16" s="24"/>
      <c r="F16" s="24"/>
      <c r="G16" s="24"/>
      <c r="H16" s="24"/>
      <c r="I16" s="24"/>
      <c r="J16" s="24"/>
      <c r="K16" s="24"/>
      <c r="L16" s="24"/>
      <c r="M16" s="24"/>
      <c r="N16" s="24"/>
    </row>
    <row r="17" spans="1:6" x14ac:dyDescent="0.35">
      <c r="A17" t="s">
        <v>29</v>
      </c>
      <c r="B17">
        <v>3.4120000000000001E-3</v>
      </c>
      <c r="C17" t="s">
        <v>30</v>
      </c>
      <c r="D17" t="s">
        <v>31</v>
      </c>
      <c r="E17">
        <v>0.13800000000000001</v>
      </c>
      <c r="F17" t="s">
        <v>30</v>
      </c>
    </row>
  </sheetData>
  <mergeCells count="1">
    <mergeCell ref="A14:N15"/>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46"/>
  <sheetViews>
    <sheetView topLeftCell="K1" zoomScale="80" zoomScaleNormal="80" workbookViewId="0">
      <pane ySplit="2" topLeftCell="A3" activePane="bottomLeft" state="frozen"/>
      <selection pane="bottomLeft" activeCell="AB11" sqref="AB11"/>
    </sheetView>
  </sheetViews>
  <sheetFormatPr defaultRowHeight="14.5" x14ac:dyDescent="0.35"/>
  <cols>
    <col min="1" max="1" width="6.7265625" customWidth="1"/>
    <col min="2" max="4" width="12.7265625" bestFit="1" customWidth="1"/>
    <col min="5" max="5" width="13.7265625" customWidth="1"/>
    <col min="6" max="6" width="9.54296875" customWidth="1"/>
    <col min="7" max="7" width="10.453125" bestFit="1" customWidth="1"/>
    <col min="8" max="8" width="12.1796875" bestFit="1" customWidth="1"/>
    <col min="9" max="9" width="10.453125" customWidth="1"/>
    <col min="10" max="10" width="8.453125" customWidth="1"/>
    <col min="11" max="11" width="8.26953125" customWidth="1"/>
    <col min="12" max="12" width="9.453125" bestFit="1" customWidth="1"/>
    <col min="13" max="13" width="8.26953125" bestFit="1" customWidth="1"/>
    <col min="14" max="15" width="10.453125" bestFit="1" customWidth="1"/>
    <col min="16" max="16" width="10.1796875" hidden="1" customWidth="1"/>
    <col min="17" max="17" width="10.1796875" customWidth="1"/>
    <col min="18" max="18" width="11.54296875" bestFit="1" customWidth="1"/>
    <col min="20" max="20" width="8.26953125" customWidth="1"/>
    <col min="21" max="21" width="13.81640625" bestFit="1" customWidth="1"/>
    <col min="22" max="22" width="8.453125" customWidth="1"/>
    <col min="23" max="23" width="8.1796875" customWidth="1"/>
  </cols>
  <sheetData>
    <row r="1" spans="1:28" x14ac:dyDescent="0.35">
      <c r="A1" t="s">
        <v>0</v>
      </c>
      <c r="O1" t="s">
        <v>1</v>
      </c>
    </row>
    <row r="2" spans="1:28" ht="69" customHeight="1" x14ac:dyDescent="0.35">
      <c r="A2" s="1" t="s">
        <v>2</v>
      </c>
      <c r="B2" s="1" t="s">
        <v>3</v>
      </c>
      <c r="C2" s="1" t="s">
        <v>4</v>
      </c>
      <c r="D2" s="2" t="s">
        <v>5</v>
      </c>
      <c r="E2" s="3" t="s">
        <v>6</v>
      </c>
      <c r="F2" s="3" t="s">
        <v>7</v>
      </c>
      <c r="G2" s="3" t="s">
        <v>8</v>
      </c>
      <c r="H2" s="4" t="s">
        <v>9</v>
      </c>
      <c r="I2" s="5" t="s">
        <v>10</v>
      </c>
      <c r="J2" s="1" t="s">
        <v>11</v>
      </c>
      <c r="K2" s="3" t="s">
        <v>12</v>
      </c>
      <c r="L2" s="3" t="s">
        <v>13</v>
      </c>
      <c r="M2" s="3" t="s">
        <v>14</v>
      </c>
      <c r="N2" s="1" t="s">
        <v>15</v>
      </c>
      <c r="O2" s="3" t="s">
        <v>16</v>
      </c>
      <c r="P2" s="1" t="s">
        <v>17</v>
      </c>
      <c r="Q2" s="4" t="s">
        <v>16</v>
      </c>
      <c r="R2" s="1" t="s">
        <v>18</v>
      </c>
      <c r="S2" s="6" t="s">
        <v>42</v>
      </c>
      <c r="T2" s="1" t="s">
        <v>20</v>
      </c>
      <c r="U2" s="1" t="s">
        <v>21</v>
      </c>
      <c r="V2" s="1" t="s">
        <v>40</v>
      </c>
      <c r="W2" s="1" t="s">
        <v>41</v>
      </c>
      <c r="X2" s="1" t="s">
        <v>24</v>
      </c>
      <c r="Y2" s="1" t="s">
        <v>39</v>
      </c>
      <c r="Z2" s="1" t="s">
        <v>46</v>
      </c>
      <c r="AA2" s="1" t="s">
        <v>45</v>
      </c>
      <c r="AB2" s="1" t="s">
        <v>47</v>
      </c>
    </row>
    <row r="3" spans="1:28" x14ac:dyDescent="0.35">
      <c r="A3">
        <v>2004</v>
      </c>
      <c r="B3" s="7">
        <v>262145457</v>
      </c>
      <c r="C3" s="7">
        <v>66316242</v>
      </c>
      <c r="D3" s="8">
        <f t="shared" ref="D3:D12" si="0">B3+C3</f>
        <v>328461699</v>
      </c>
      <c r="E3" s="9"/>
      <c r="F3" s="9">
        <f t="shared" ref="F3:F14" si="1">C3*$B$23</f>
        <v>226271.017704</v>
      </c>
      <c r="G3" s="9">
        <v>3823671</v>
      </c>
      <c r="H3" s="10">
        <v>3733098.6630000006</v>
      </c>
      <c r="I3" s="11">
        <f>(G3-H3)/G3</f>
        <v>2.3687272519000553E-2</v>
      </c>
      <c r="J3" s="7">
        <v>73417</v>
      </c>
      <c r="K3" s="9">
        <f t="shared" ref="K3:K14" si="2">J3*$E$23</f>
        <v>10131.546</v>
      </c>
      <c r="L3" s="9">
        <v>73436</v>
      </c>
      <c r="M3" s="9"/>
      <c r="N3" s="7">
        <f>F3+G3</f>
        <v>4049942.0177039998</v>
      </c>
      <c r="O3" s="9">
        <f>F3+G3+E3*B23+M3+K3+L3</f>
        <v>4133509.5637039999</v>
      </c>
      <c r="P3" s="7">
        <v>14063190</v>
      </c>
      <c r="Q3" s="10">
        <f t="shared" ref="Q3:Q14" si="3">F3+H3+E3*E21+K3+L3+M3</f>
        <v>4042937.2267040005</v>
      </c>
      <c r="R3" s="7">
        <v>13160015</v>
      </c>
      <c r="S3" s="32">
        <f t="shared" ref="S3:S9" si="4">1000*Q3/R3</f>
        <v>307.21372480988816</v>
      </c>
      <c r="T3" s="7">
        <f t="shared" ref="T3:T12" si="5">D3/R3</f>
        <v>24.959067219908185</v>
      </c>
      <c r="U3">
        <f>G3/B3</f>
        <v>1.4586066238790473E-2</v>
      </c>
      <c r="V3">
        <v>946.69999999999993</v>
      </c>
      <c r="W3">
        <v>5754.2</v>
      </c>
      <c r="X3">
        <v>0</v>
      </c>
      <c r="Y3">
        <v>0</v>
      </c>
      <c r="Z3" s="33">
        <f>1000*S3/W3</f>
        <v>53.389476349429664</v>
      </c>
      <c r="AA3">
        <f>S3/V3</f>
        <v>0.32451011387967488</v>
      </c>
      <c r="AB3" s="38">
        <f t="shared" ref="AB3:AB12" si="6">($Z$3-Z3)/$Z$3</f>
        <v>0</v>
      </c>
    </row>
    <row r="4" spans="1:28" x14ac:dyDescent="0.35">
      <c r="A4">
        <v>2005</v>
      </c>
      <c r="B4" s="7">
        <v>239502234</v>
      </c>
      <c r="C4" s="7">
        <v>80040349</v>
      </c>
      <c r="D4" s="8">
        <f t="shared" si="0"/>
        <v>319542583</v>
      </c>
      <c r="E4" s="9"/>
      <c r="F4" s="9">
        <f t="shared" si="1"/>
        <v>273097.67078799999</v>
      </c>
      <c r="G4" s="9">
        <v>3495919</v>
      </c>
      <c r="H4" s="10">
        <v>3411481</v>
      </c>
      <c r="I4" s="11">
        <f t="shared" ref="I4:I9" si="7">(G4-H4)/G4</f>
        <v>2.4153305611485848E-2</v>
      </c>
      <c r="J4" s="7">
        <v>64869</v>
      </c>
      <c r="K4" s="9">
        <f t="shared" si="2"/>
        <v>8951.9220000000005</v>
      </c>
      <c r="L4" s="9">
        <v>70689</v>
      </c>
      <c r="M4" s="9"/>
      <c r="N4" s="7">
        <f t="shared" ref="N4:N9" si="8">F4+G4</f>
        <v>3769016.6707879999</v>
      </c>
      <c r="O4" s="9">
        <f t="shared" ref="O4:O9" si="9">F4+G4+E4*B22+M4+K4+L4</f>
        <v>3848657.5927879997</v>
      </c>
      <c r="P4" s="7">
        <v>14431675</v>
      </c>
      <c r="Q4" s="10">
        <f t="shared" si="3"/>
        <v>3764219.5927879997</v>
      </c>
      <c r="R4" s="7">
        <v>13133404</v>
      </c>
      <c r="S4" s="32">
        <f t="shared" si="4"/>
        <v>286.61416284673794</v>
      </c>
      <c r="T4" s="7">
        <f t="shared" si="5"/>
        <v>24.330522612416399</v>
      </c>
      <c r="U4">
        <f>G4/B4</f>
        <v>1.4596602885967236E-2</v>
      </c>
      <c r="V4">
        <v>959</v>
      </c>
      <c r="W4">
        <v>5568.6999999999989</v>
      </c>
      <c r="X4" s="13">
        <f t="shared" ref="X4:X9" si="10">($Q$3-Q4)/$Q$3</f>
        <v>6.89393919042431E-2</v>
      </c>
      <c r="Y4" s="13">
        <f t="shared" ref="Y4:Y11" si="11">(R4-$R$3)/$R$3</f>
        <v>-2.0221101571692738E-3</v>
      </c>
      <c r="Z4" s="33">
        <f t="shared" ref="Z4:Z13" si="12">S4/W4*1000</f>
        <v>51.468774192672974</v>
      </c>
      <c r="AA4">
        <f t="shared" ref="AA4:AA13" si="13">S4/V4</f>
        <v>0.29886774019472151</v>
      </c>
      <c r="AB4" s="38">
        <f t="shared" si="6"/>
        <v>3.5975294909915474E-2</v>
      </c>
    </row>
    <row r="5" spans="1:28" x14ac:dyDescent="0.35">
      <c r="A5">
        <v>2006</v>
      </c>
      <c r="B5" s="7">
        <v>174148396</v>
      </c>
      <c r="C5" s="7">
        <v>137306802</v>
      </c>
      <c r="D5" s="8">
        <f t="shared" si="0"/>
        <v>311455198</v>
      </c>
      <c r="E5" s="9"/>
      <c r="F5" s="9">
        <f t="shared" si="1"/>
        <v>468490.80842399999</v>
      </c>
      <c r="G5" s="9">
        <v>2961686</v>
      </c>
      <c r="H5" s="10">
        <v>3037415</v>
      </c>
      <c r="I5" s="11">
        <f t="shared" si="7"/>
        <v>-2.5569557339974597E-2</v>
      </c>
      <c r="J5" s="7">
        <v>16583</v>
      </c>
      <c r="K5" s="9">
        <f t="shared" si="2"/>
        <v>2288.4540000000002</v>
      </c>
      <c r="L5" s="9">
        <v>54825</v>
      </c>
      <c r="M5" s="9"/>
      <c r="N5" s="7">
        <f t="shared" si="8"/>
        <v>3430176.8084240002</v>
      </c>
      <c r="O5" s="9">
        <f t="shared" si="9"/>
        <v>3487290.2624240001</v>
      </c>
      <c r="P5" s="7">
        <v>14501696</v>
      </c>
      <c r="Q5" s="10">
        <f t="shared" si="3"/>
        <v>3563019.2624240001</v>
      </c>
      <c r="R5" s="7">
        <v>13622489</v>
      </c>
      <c r="S5" s="32">
        <f t="shared" si="4"/>
        <v>261.55420367188407</v>
      </c>
      <c r="T5" s="7">
        <f t="shared" si="5"/>
        <v>22.863310662243883</v>
      </c>
      <c r="U5">
        <f>H5/B5</f>
        <v>1.7441533024513185E-2</v>
      </c>
      <c r="V5">
        <v>1251.8</v>
      </c>
      <c r="W5">
        <v>5496.0999999999995</v>
      </c>
      <c r="X5" s="13">
        <f t="shared" si="10"/>
        <v>0.11870527227335977</v>
      </c>
      <c r="Y5" s="13">
        <f t="shared" si="11"/>
        <v>3.514236115992269E-2</v>
      </c>
      <c r="Z5" s="33">
        <f t="shared" si="12"/>
        <v>47.58905472460183</v>
      </c>
      <c r="AA5">
        <f t="shared" si="13"/>
        <v>0.20894248575801572</v>
      </c>
      <c r="AB5" s="38">
        <f t="shared" si="6"/>
        <v>0.10864353841690746</v>
      </c>
    </row>
    <row r="6" spans="1:28" x14ac:dyDescent="0.35">
      <c r="A6">
        <v>2007</v>
      </c>
      <c r="B6" s="7">
        <v>222191264</v>
      </c>
      <c r="C6" s="7">
        <v>118607943</v>
      </c>
      <c r="D6" s="8">
        <f t="shared" si="0"/>
        <v>340799207</v>
      </c>
      <c r="E6" s="9"/>
      <c r="F6" s="9">
        <f t="shared" si="1"/>
        <v>404690.30151600001</v>
      </c>
      <c r="G6" s="9">
        <v>3267894</v>
      </c>
      <c r="H6" s="10">
        <v>3236113</v>
      </c>
      <c r="I6" s="11">
        <f t="shared" si="7"/>
        <v>9.7252236455650024E-3</v>
      </c>
      <c r="J6" s="7">
        <v>37359</v>
      </c>
      <c r="K6" s="9">
        <f t="shared" si="2"/>
        <v>5155.5420000000004</v>
      </c>
      <c r="L6" s="9">
        <v>47724</v>
      </c>
      <c r="M6" s="9"/>
      <c r="N6" s="7">
        <f t="shared" si="8"/>
        <v>3672584.3015160002</v>
      </c>
      <c r="O6" s="9">
        <f t="shared" si="9"/>
        <v>3725463.8435160001</v>
      </c>
      <c r="P6" s="7">
        <v>14888519.870000001</v>
      </c>
      <c r="Q6" s="10">
        <f t="shared" si="3"/>
        <v>3693682.8435160001</v>
      </c>
      <c r="R6" s="7">
        <v>13983619</v>
      </c>
      <c r="S6" s="32">
        <f t="shared" si="4"/>
        <v>264.14355565007889</v>
      </c>
      <c r="T6" s="7">
        <f t="shared" si="5"/>
        <v>24.371316681325485</v>
      </c>
      <c r="U6">
        <f t="shared" ref="U6:U12" si="14">H6/B6</f>
        <v>1.4564537514850269E-2</v>
      </c>
      <c r="V6">
        <v>1155.9000000000001</v>
      </c>
      <c r="W6">
        <v>5624.1</v>
      </c>
      <c r="X6" s="13">
        <f t="shared" si="10"/>
        <v>8.6386298773362263E-2</v>
      </c>
      <c r="Y6" s="13">
        <f t="shared" si="11"/>
        <v>6.2583819243367117E-2</v>
      </c>
      <c r="Z6" s="33">
        <f t="shared" si="12"/>
        <v>46.966368956824894</v>
      </c>
      <c r="AA6">
        <f t="shared" si="13"/>
        <v>0.2285176534735521</v>
      </c>
      <c r="AB6" s="38">
        <f t="shared" si="6"/>
        <v>0.12030661905290227</v>
      </c>
    </row>
    <row r="7" spans="1:28" x14ac:dyDescent="0.35">
      <c r="A7">
        <v>2008</v>
      </c>
      <c r="B7" s="7">
        <v>186085556</v>
      </c>
      <c r="C7" s="7">
        <v>141261073</v>
      </c>
      <c r="D7" s="8">
        <f t="shared" si="0"/>
        <v>327346629</v>
      </c>
      <c r="E7" s="9"/>
      <c r="F7" s="9">
        <f t="shared" si="1"/>
        <v>481982.78107600001</v>
      </c>
      <c r="G7" s="9">
        <v>3257287</v>
      </c>
      <c r="H7" s="10">
        <v>3190944</v>
      </c>
      <c r="I7" s="11">
        <f t="shared" si="7"/>
        <v>2.0367563558261831E-2</v>
      </c>
      <c r="J7" s="7">
        <v>27846</v>
      </c>
      <c r="K7" s="9">
        <f t="shared" si="2"/>
        <v>3842.7480000000005</v>
      </c>
      <c r="L7" s="9">
        <v>65296</v>
      </c>
      <c r="M7" s="9">
        <v>0</v>
      </c>
      <c r="N7" s="7">
        <f t="shared" si="8"/>
        <v>3739269.7810760001</v>
      </c>
      <c r="O7" s="9">
        <f t="shared" si="9"/>
        <v>3808408.5290760002</v>
      </c>
      <c r="P7" s="7">
        <v>14692023</v>
      </c>
      <c r="Q7" s="10">
        <f t="shared" si="3"/>
        <v>3742065.5290760002</v>
      </c>
      <c r="R7" s="7">
        <v>14692023</v>
      </c>
      <c r="S7" s="32">
        <f t="shared" si="4"/>
        <v>254.70049489277278</v>
      </c>
      <c r="T7" s="7">
        <f t="shared" si="5"/>
        <v>22.280568782120746</v>
      </c>
      <c r="U7">
        <f t="shared" si="14"/>
        <v>1.7147725318347653E-2</v>
      </c>
      <c r="V7">
        <v>1085.5999999999999</v>
      </c>
      <c r="W7">
        <v>6025.0000000000009</v>
      </c>
      <c r="X7" s="13">
        <f t="shared" si="10"/>
        <v>7.4419087103483314E-2</v>
      </c>
      <c r="Y7" s="13">
        <f t="shared" si="11"/>
        <v>0.11641384907236048</v>
      </c>
      <c r="Z7" s="33">
        <f t="shared" si="12"/>
        <v>42.273941061041121</v>
      </c>
      <c r="AA7">
        <f t="shared" si="13"/>
        <v>0.2346172576388843</v>
      </c>
      <c r="AB7" s="38">
        <f t="shared" si="6"/>
        <v>0.20819712138846039</v>
      </c>
    </row>
    <row r="8" spans="1:28" x14ac:dyDescent="0.35">
      <c r="A8">
        <v>2009</v>
      </c>
      <c r="B8" s="7">
        <v>161143518</v>
      </c>
      <c r="C8" s="7">
        <v>176681127</v>
      </c>
      <c r="D8" s="8">
        <f t="shared" si="0"/>
        <v>337824645</v>
      </c>
      <c r="E8" s="9"/>
      <c r="F8" s="9">
        <f t="shared" si="1"/>
        <v>602836.00532400003</v>
      </c>
      <c r="G8" s="9">
        <v>3156244</v>
      </c>
      <c r="H8" s="10">
        <v>2960088</v>
      </c>
      <c r="I8" s="11">
        <f t="shared" si="7"/>
        <v>6.2148553787349771E-2</v>
      </c>
      <c r="J8" s="7">
        <v>14789</v>
      </c>
      <c r="K8" s="9">
        <f t="shared" si="2"/>
        <v>2040.8820000000001</v>
      </c>
      <c r="L8" s="9">
        <v>59946.1</v>
      </c>
      <c r="M8" s="9">
        <v>0</v>
      </c>
      <c r="N8" s="7">
        <f t="shared" si="8"/>
        <v>3759080.005324</v>
      </c>
      <c r="O8" s="9">
        <f t="shared" si="9"/>
        <v>3821066.9873240003</v>
      </c>
      <c r="P8" s="7">
        <v>14655095</v>
      </c>
      <c r="Q8" s="10">
        <f t="shared" si="3"/>
        <v>3624910.9873240003</v>
      </c>
      <c r="R8" s="7">
        <v>14655095</v>
      </c>
      <c r="S8" s="32">
        <f t="shared" si="4"/>
        <v>247.34817395069771</v>
      </c>
      <c r="T8" s="7">
        <f t="shared" si="5"/>
        <v>23.051685778904879</v>
      </c>
      <c r="U8">
        <f t="shared" si="14"/>
        <v>1.8369265092003265E-2</v>
      </c>
      <c r="V8">
        <v>910.19999999999993</v>
      </c>
      <c r="W8">
        <v>6276.4</v>
      </c>
      <c r="X8" s="13">
        <f t="shared" si="10"/>
        <v>0.10339666829821038</v>
      </c>
      <c r="Y8" s="13">
        <f t="shared" si="11"/>
        <v>0.11360777324341956</v>
      </c>
      <c r="Z8" s="33">
        <f t="shared" si="12"/>
        <v>39.409243188881803</v>
      </c>
      <c r="AA8">
        <f t="shared" si="13"/>
        <v>0.27175145457119065</v>
      </c>
      <c r="AB8" s="38">
        <f t="shared" si="6"/>
        <v>0.2618537231766126</v>
      </c>
    </row>
    <row r="9" spans="1:28" x14ac:dyDescent="0.35">
      <c r="A9">
        <v>2010</v>
      </c>
      <c r="B9" s="7">
        <f>136774662</f>
        <v>136774662</v>
      </c>
      <c r="C9" s="7">
        <v>179245671</v>
      </c>
      <c r="D9" s="8">
        <f t="shared" si="0"/>
        <v>316020333</v>
      </c>
      <c r="E9" s="9">
        <v>30400</v>
      </c>
      <c r="F9" s="9">
        <f t="shared" si="1"/>
        <v>611586.229452</v>
      </c>
      <c r="G9" s="9">
        <v>2783831.1610000003</v>
      </c>
      <c r="H9" s="10">
        <v>2755406</v>
      </c>
      <c r="I9" s="11">
        <f t="shared" si="7"/>
        <v>1.0210806387334749E-2</v>
      </c>
      <c r="J9" s="7">
        <v>1153</v>
      </c>
      <c r="K9" s="9">
        <f t="shared" si="2"/>
        <v>159.114</v>
      </c>
      <c r="L9" s="9">
        <v>49005.121600000108</v>
      </c>
      <c r="M9" s="9">
        <v>2032</v>
      </c>
      <c r="N9" s="7">
        <f t="shared" si="8"/>
        <v>3395417.3904520003</v>
      </c>
      <c r="O9" s="9">
        <f t="shared" si="9"/>
        <v>3446613.6260520006</v>
      </c>
      <c r="P9" s="7">
        <v>14641390</v>
      </c>
      <c r="Q9" s="10">
        <f t="shared" si="3"/>
        <v>3418188.4650520002</v>
      </c>
      <c r="R9" s="7">
        <v>14641390</v>
      </c>
      <c r="S9" s="32">
        <f t="shared" si="4"/>
        <v>233.4606526465042</v>
      </c>
      <c r="T9" s="7">
        <f t="shared" si="5"/>
        <v>21.58403901542135</v>
      </c>
      <c r="U9">
        <f t="shared" si="14"/>
        <v>2.0145588076832536E-2</v>
      </c>
      <c r="V9">
        <v>825.69999999999993</v>
      </c>
      <c r="W9">
        <v>5761.3</v>
      </c>
      <c r="X9" s="13">
        <f t="shared" si="10"/>
        <v>0.15452843480365533</v>
      </c>
      <c r="Y9" s="13">
        <f t="shared" si="11"/>
        <v>0.11256636105657934</v>
      </c>
      <c r="Z9" s="33">
        <f t="shared" si="12"/>
        <v>40.522217667280678</v>
      </c>
      <c r="AA9">
        <f t="shared" si="13"/>
        <v>0.2827427063661187</v>
      </c>
      <c r="AB9" s="38">
        <f t="shared" si="6"/>
        <v>0.24100739625041182</v>
      </c>
    </row>
    <row r="10" spans="1:28" x14ac:dyDescent="0.35">
      <c r="A10">
        <v>2011</v>
      </c>
      <c r="B10" s="7">
        <v>139014807</v>
      </c>
      <c r="C10" s="7">
        <v>176034726</v>
      </c>
      <c r="D10" s="8">
        <f t="shared" si="0"/>
        <v>315049533</v>
      </c>
      <c r="E10" s="9">
        <v>60683</v>
      </c>
      <c r="F10" s="9">
        <f t="shared" si="1"/>
        <v>600630.48511200002</v>
      </c>
      <c r="G10" s="9" t="s">
        <v>1</v>
      </c>
      <c r="H10" s="10">
        <v>2909118.95</v>
      </c>
      <c r="I10" s="11"/>
      <c r="J10" s="25">
        <v>10022</v>
      </c>
      <c r="K10" s="26">
        <f t="shared" si="2"/>
        <v>1383.0360000000001</v>
      </c>
      <c r="L10" s="9">
        <v>40212.60329999961</v>
      </c>
      <c r="M10" s="26">
        <v>2242.8999680000002</v>
      </c>
      <c r="N10" s="7">
        <f>F10+H10</f>
        <v>3509749.4351120004</v>
      </c>
      <c r="O10" s="9"/>
      <c r="P10" s="7"/>
      <c r="Q10" s="10">
        <f t="shared" si="3"/>
        <v>3553587.97438</v>
      </c>
      <c r="R10" s="7">
        <v>14641390</v>
      </c>
      <c r="S10" s="32">
        <f>1000*Q10/R10</f>
        <v>242.70837498215676</v>
      </c>
      <c r="T10" s="7">
        <f t="shared" si="5"/>
        <v>21.517733835380383</v>
      </c>
      <c r="U10">
        <f t="shared" si="14"/>
        <v>2.0926684090565979E-2</v>
      </c>
      <c r="V10">
        <v>1200</v>
      </c>
      <c r="W10">
        <v>6021.5</v>
      </c>
      <c r="X10" s="13">
        <f>($Q$3-Q10)/$Q$3</f>
        <v>0.1210380534953153</v>
      </c>
      <c r="Y10" s="13">
        <f t="shared" si="11"/>
        <v>0.11256636105657934</v>
      </c>
      <c r="Z10" s="33">
        <f t="shared" si="12"/>
        <v>40.30696254789617</v>
      </c>
      <c r="AA10">
        <f t="shared" si="13"/>
        <v>0.2022569791517973</v>
      </c>
      <c r="AB10" s="38">
        <f t="shared" si="6"/>
        <v>0.24503918554865634</v>
      </c>
    </row>
    <row r="11" spans="1:28" x14ac:dyDescent="0.35">
      <c r="A11">
        <v>2012</v>
      </c>
      <c r="B11" s="7">
        <v>142295453</v>
      </c>
      <c r="C11" s="7">
        <v>174428914</v>
      </c>
      <c r="D11" s="8">
        <f t="shared" si="0"/>
        <v>316724367</v>
      </c>
      <c r="E11" s="9">
        <v>112357</v>
      </c>
      <c r="F11" s="9">
        <f t="shared" si="1"/>
        <v>595151.45456800004</v>
      </c>
      <c r="G11" s="9"/>
      <c r="H11" s="10">
        <v>2683538.94</v>
      </c>
      <c r="I11" s="11"/>
      <c r="J11" s="25">
        <v>9178</v>
      </c>
      <c r="K11" s="26">
        <f t="shared" si="2"/>
        <v>1266.5640000000001</v>
      </c>
      <c r="L11" s="9">
        <v>36826.720000000001</v>
      </c>
      <c r="M11" s="26">
        <v>2681.4000639999999</v>
      </c>
      <c r="N11" s="7">
        <f>F11+H11</f>
        <v>3278690.394568</v>
      </c>
      <c r="O11" s="9"/>
      <c r="P11" s="7"/>
      <c r="Q11" s="10">
        <f t="shared" si="3"/>
        <v>3319465.0786319999</v>
      </c>
      <c r="R11" s="25">
        <v>14644990</v>
      </c>
      <c r="S11" s="32">
        <f>1000*Q11/R11</f>
        <v>226.6621608230528</v>
      </c>
      <c r="T11" s="7">
        <f t="shared" si="5"/>
        <v>21.62680664172526</v>
      </c>
      <c r="U11">
        <f t="shared" si="14"/>
        <v>1.8858922638940543E-2</v>
      </c>
      <c r="V11">
        <v>1346.3</v>
      </c>
      <c r="W11">
        <v>4768.3</v>
      </c>
      <c r="X11" s="13">
        <f>($Q$3-Q11)/$Q$3</f>
        <v>0.17894716328846152</v>
      </c>
      <c r="Y11" s="13">
        <f t="shared" si="11"/>
        <v>0.11283991697577853</v>
      </c>
      <c r="Z11" s="33">
        <f t="shared" si="12"/>
        <v>47.535213980465322</v>
      </c>
      <c r="AA11">
        <f t="shared" si="13"/>
        <v>0.1683593261702836</v>
      </c>
      <c r="AB11" s="38">
        <f t="shared" si="6"/>
        <v>0.10965199079025768</v>
      </c>
    </row>
    <row r="12" spans="1:28" x14ac:dyDescent="0.35">
      <c r="A12">
        <v>2013</v>
      </c>
      <c r="B12" s="7">
        <v>106325317</v>
      </c>
      <c r="C12" s="7">
        <v>204835356</v>
      </c>
      <c r="D12" s="8">
        <f t="shared" si="0"/>
        <v>311160673</v>
      </c>
      <c r="E12" s="9">
        <v>128454.20000000001</v>
      </c>
      <c r="F12" s="9">
        <f t="shared" si="1"/>
        <v>698898.23467200005</v>
      </c>
      <c r="G12" s="9"/>
      <c r="H12" s="10">
        <v>2670946.7999999998</v>
      </c>
      <c r="I12" s="11"/>
      <c r="J12" s="25">
        <v>1287</v>
      </c>
      <c r="K12" s="26">
        <f t="shared" si="2"/>
        <v>177.60600000000002</v>
      </c>
      <c r="L12" s="31">
        <v>44792.792999999969</v>
      </c>
      <c r="M12" s="26">
        <v>2749.5004159999999</v>
      </c>
      <c r="N12" s="7">
        <f>F12+H12</f>
        <v>3369845.034672</v>
      </c>
      <c r="O12" s="9"/>
      <c r="P12" s="7"/>
      <c r="Q12" s="10">
        <f t="shared" si="3"/>
        <v>3417564.9340880001</v>
      </c>
      <c r="R12" s="25">
        <v>14647452</v>
      </c>
      <c r="S12" s="32">
        <f>1000*Q12/R12</f>
        <v>233.32146328849552</v>
      </c>
      <c r="T12" s="7">
        <f t="shared" si="5"/>
        <v>21.243331126806218</v>
      </c>
      <c r="U12">
        <f t="shared" si="14"/>
        <v>2.5120515746969274E-2</v>
      </c>
      <c r="V12">
        <v>1256.6999999999998</v>
      </c>
      <c r="W12">
        <v>5863.9000000000005</v>
      </c>
      <c r="X12" s="13">
        <f>($Q$3-Q12)/$Q$3</f>
        <v>0.15468266202239167</v>
      </c>
      <c r="Y12" s="13">
        <f>(R12-$R$3)/$R$3</f>
        <v>0.11302699882940863</v>
      </c>
      <c r="Z12" s="33">
        <f t="shared" si="12"/>
        <v>39.789468321167739</v>
      </c>
      <c r="AA12">
        <f t="shared" si="13"/>
        <v>0.18566202219184813</v>
      </c>
      <c r="AB12" s="38">
        <f t="shared" si="6"/>
        <v>0.25473199885406272</v>
      </c>
    </row>
    <row r="13" spans="1:28" x14ac:dyDescent="0.35">
      <c r="A13">
        <v>2014</v>
      </c>
      <c r="B13" s="7">
        <v>130430592</v>
      </c>
      <c r="C13" s="7">
        <v>184154948</v>
      </c>
      <c r="D13" s="8">
        <f>B13+C13</f>
        <v>314585540</v>
      </c>
      <c r="E13" s="9">
        <v>118447.1</v>
      </c>
      <c r="F13" s="9">
        <f t="shared" si="1"/>
        <v>628336.68257599999</v>
      </c>
      <c r="G13" s="9"/>
      <c r="H13" s="10">
        <v>2912203.0550000002</v>
      </c>
      <c r="I13" s="11"/>
      <c r="J13" s="25">
        <v>7302</v>
      </c>
      <c r="K13" s="26">
        <f t="shared" si="2"/>
        <v>1007.676</v>
      </c>
      <c r="L13" s="26">
        <v>50485.146000000183</v>
      </c>
      <c r="M13" s="26">
        <v>2783.2995839999999</v>
      </c>
      <c r="N13" s="7">
        <f>F13+H13</f>
        <v>3540539.7375760004</v>
      </c>
      <c r="O13" s="9"/>
      <c r="P13" s="7"/>
      <c r="Q13" s="10">
        <f t="shared" si="3"/>
        <v>3594815.8591600005</v>
      </c>
      <c r="R13" s="25">
        <v>14770711</v>
      </c>
      <c r="S13" s="32">
        <f>1000*Q13/R13</f>
        <v>243.37459849833905</v>
      </c>
      <c r="T13" s="7">
        <f>D13/R13</f>
        <v>21.297928041514048</v>
      </c>
      <c r="U13">
        <f>H13/B13</f>
        <v>2.2327607429704837E-2</v>
      </c>
      <c r="V13">
        <v>1149.5</v>
      </c>
      <c r="W13">
        <v>6810</v>
      </c>
      <c r="X13" s="13">
        <f>($Q$3-Q13)/$Q$3</f>
        <v>0.11084054547869654</v>
      </c>
      <c r="Y13" s="13">
        <f>(R13-$R$3)/$R$3</f>
        <v>0.1223931735640119</v>
      </c>
      <c r="Z13" s="33">
        <f t="shared" si="12"/>
        <v>35.737826504895608</v>
      </c>
      <c r="AA13">
        <f t="shared" si="13"/>
        <v>0.21172213875453594</v>
      </c>
      <c r="AB13" s="38">
        <f>($Z$3-Z13)/$Z$3</f>
        <v>0.3306203965928694</v>
      </c>
    </row>
    <row r="14" spans="1:28" x14ac:dyDescent="0.35">
      <c r="A14">
        <v>2015</v>
      </c>
      <c r="B14" s="7">
        <v>112708986</v>
      </c>
      <c r="C14" s="34">
        <v>194549595</v>
      </c>
      <c r="D14" s="8">
        <f>B14+C14</f>
        <v>307258581</v>
      </c>
      <c r="E14" s="9">
        <v>113836.9</v>
      </c>
      <c r="F14" s="9">
        <f t="shared" si="1"/>
        <v>663803.21814000001</v>
      </c>
      <c r="G14" s="9"/>
      <c r="H14" s="10">
        <v>2631063</v>
      </c>
      <c r="I14" s="11"/>
      <c r="J14" s="25">
        <v>6999</v>
      </c>
      <c r="K14" s="26">
        <f t="shared" si="2"/>
        <v>965.86200000000008</v>
      </c>
      <c r="L14" s="35">
        <v>50485.146000000183</v>
      </c>
      <c r="M14" s="35">
        <v>2783.2995839999999</v>
      </c>
      <c r="N14" s="7">
        <f>F14+H14</f>
        <v>3294866.21814</v>
      </c>
      <c r="O14" s="9"/>
      <c r="P14" s="7"/>
      <c r="Q14" s="10">
        <f t="shared" si="3"/>
        <v>3349100.5257240003</v>
      </c>
      <c r="R14" s="25"/>
      <c r="S14" s="32"/>
      <c r="T14" s="7"/>
      <c r="U14">
        <f>H14/B14</f>
        <v>2.3343861863862388E-2</v>
      </c>
      <c r="X14" s="13"/>
      <c r="Y14" s="13"/>
      <c r="Z14" s="33"/>
    </row>
    <row r="15" spans="1:28" x14ac:dyDescent="0.35">
      <c r="B15" s="7"/>
      <c r="C15" s="36"/>
      <c r="D15" s="8"/>
      <c r="E15" s="9"/>
      <c r="F15" s="9"/>
      <c r="G15" s="9"/>
      <c r="H15" s="10"/>
      <c r="I15" s="11"/>
      <c r="J15" s="25"/>
      <c r="K15" s="26"/>
      <c r="L15" s="35"/>
      <c r="M15" s="35"/>
      <c r="N15" s="7"/>
      <c r="O15" s="9"/>
      <c r="P15" s="7"/>
      <c r="Q15" s="10"/>
      <c r="R15" s="25"/>
      <c r="S15" s="32"/>
      <c r="T15" s="7"/>
      <c r="X15" s="13"/>
      <c r="Y15" s="13"/>
      <c r="Z15" s="33"/>
    </row>
    <row r="16" spans="1:28" x14ac:dyDescent="0.35">
      <c r="A16" t="s">
        <v>25</v>
      </c>
      <c r="O16" s="30"/>
      <c r="Q16" t="s">
        <v>1</v>
      </c>
    </row>
    <row r="17" spans="1:14" x14ac:dyDescent="0.35">
      <c r="A17" t="s">
        <v>26</v>
      </c>
    </row>
    <row r="18" spans="1:14" x14ac:dyDescent="0.35">
      <c r="A18" s="79" t="s">
        <v>27</v>
      </c>
      <c r="B18" s="79"/>
      <c r="C18" s="79"/>
      <c r="D18" s="79"/>
      <c r="E18" s="79"/>
      <c r="F18" s="79"/>
      <c r="G18" s="79"/>
      <c r="H18" s="79"/>
      <c r="I18" s="79"/>
      <c r="J18" s="79"/>
      <c r="K18" s="79"/>
      <c r="L18" s="79"/>
      <c r="M18" s="79"/>
      <c r="N18" s="79"/>
    </row>
    <row r="19" spans="1:14" x14ac:dyDescent="0.35">
      <c r="A19" s="79"/>
      <c r="B19" s="79"/>
      <c r="C19" s="79"/>
      <c r="D19" s="79"/>
      <c r="E19" s="79"/>
      <c r="F19" s="79"/>
      <c r="G19" s="79"/>
      <c r="H19" s="79"/>
      <c r="I19" s="79"/>
      <c r="J19" s="79"/>
      <c r="K19" s="79"/>
      <c r="L19" s="79"/>
      <c r="M19" s="79"/>
      <c r="N19" s="79"/>
    </row>
    <row r="20" spans="1:14" x14ac:dyDescent="0.35">
      <c r="A20" s="15" t="s">
        <v>28</v>
      </c>
      <c r="B20" s="29"/>
      <c r="C20" s="29"/>
      <c r="D20" s="29"/>
      <c r="E20" s="29"/>
      <c r="F20" s="29"/>
      <c r="G20" s="29"/>
      <c r="H20" s="29"/>
      <c r="I20" s="29"/>
      <c r="J20" s="29"/>
      <c r="K20" s="29"/>
      <c r="L20" s="29"/>
      <c r="M20" s="29"/>
      <c r="N20" s="29"/>
    </row>
    <row r="21" spans="1:14" x14ac:dyDescent="0.35">
      <c r="A21" t="s">
        <v>43</v>
      </c>
    </row>
    <row r="23" spans="1:14" x14ac:dyDescent="0.35">
      <c r="A23" t="s">
        <v>29</v>
      </c>
      <c r="B23">
        <v>3.4120000000000001E-3</v>
      </c>
      <c r="C23" t="s">
        <v>30</v>
      </c>
      <c r="D23" t="s">
        <v>31</v>
      </c>
      <c r="E23">
        <v>0.13800000000000001</v>
      </c>
      <c r="F23" t="s">
        <v>30</v>
      </c>
    </row>
    <row r="46" spans="14:14" x14ac:dyDescent="0.35">
      <c r="N46" t="s">
        <v>44</v>
      </c>
    </row>
  </sheetData>
  <mergeCells count="1">
    <mergeCell ref="A18:N19"/>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Compatibility Report</vt:lpstr>
      <vt:lpstr>Total Energy  adj sq ft</vt:lpstr>
      <vt:lpstr>Carbon Calculator</vt:lpstr>
      <vt:lpstr>Total Water</vt:lpstr>
      <vt:lpstr>Total Energy  (NE IL HDD CDD)</vt:lpstr>
      <vt:lpstr>Total Energy  (City Level)</vt:lpstr>
      <vt:lpstr>'Total Energy  adj sq ft'!Print_Area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VCAS</dc:creator>
  <cp:lastModifiedBy>Catherine O’Reilly</cp:lastModifiedBy>
  <cp:lastPrinted>2017-12-14T16:44:43Z</cp:lastPrinted>
  <dcterms:created xsi:type="dcterms:W3CDTF">2011-02-24T22:19:33Z</dcterms:created>
  <dcterms:modified xsi:type="dcterms:W3CDTF">2021-04-30T23:47:03Z</dcterms:modified>
</cp:coreProperties>
</file>