
<file path=[Content_Types].xml><?xml version="1.0" encoding="utf-8"?>
<Types xmlns="http://schemas.openxmlformats.org/package/2006/content-types">
  <Default Extension="xml" ContentType="application/xml"/>
  <Default Extension="vml" ContentType="application/vnd.openxmlformats-officedocument.vmlDrawing"/>
  <Default Extension="jpeg" ContentType="image/jpeg"/>
  <Default Extension="JPG" ContentType="image/.jpg"/>
  <Default Extension="png" ContentType="image/png"/>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drawings/drawing1.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8800" windowHeight="12180" tabRatio="727"/>
  </bookViews>
  <sheets>
    <sheet name="Procedura guidata" sheetId="27" r:id="rId1"/>
    <sheet name="Riepilogo generale" sheetId="13" r:id="rId2"/>
    <sheet name="Riepilogo oneri e costi" sheetId="2" r:id="rId3"/>
    <sheet name="Descrizione dell'intervento" sheetId="1" r:id="rId4"/>
    <sheet name="Calcolo superfici edificio" sheetId="29" r:id="rId5"/>
    <sheet name="Determinazione classe" sheetId="19" r:id="rId6"/>
    <sheet name="Costo Costruzione" sheetId="20" r:id="rId7"/>
    <sheet name="Costo costruzione statofatto" sheetId="17" r:id="rId8"/>
    <sheet name="Costo costruzione progetto" sheetId="7" r:id="rId9"/>
    <sheet name="Calcolo superficie parcheggio" sheetId="23" r:id="rId10"/>
    <sheet name="Rateizzazione" sheetId="28" state="hidden" r:id="rId11"/>
    <sheet name="Parametri" sheetId="22" state="hidden" r:id="rId12"/>
    <sheet name="Solo1" sheetId="12" state="hidden" r:id="rId13"/>
  </sheets>
  <definedNames>
    <definedName name="_xlnm.Print_Area" localSheetId="6">'Costo Costruzione'!$B$1:$S$42</definedName>
    <definedName name="_xlnm.Print_Area" localSheetId="8">'Costo costruzione progetto'!$B$1:$P$53</definedName>
    <definedName name="_xlnm.Print_Area" localSheetId="7">'Costo costruzione statofatto'!$A$1:$P$53</definedName>
    <definedName name="_xlnm.Print_Area" localSheetId="3">'Descrizione dell''intervento'!$B$1:$H$96</definedName>
    <definedName name="_xlnm.Print_Area" localSheetId="5">'Determinazione classe'!$A$3:$O$36</definedName>
    <definedName name="_xlnm.Print_Area" localSheetId="1">'Riepilogo generale'!$B$2:$F$83</definedName>
    <definedName name="_xlnm.Print_Area" localSheetId="2">'Riepilogo oneri e costi'!$B$2:$N$196</definedName>
    <definedName name="Calcolo_sup_parcheggi_tot_volume_UIU">'Calcolo superficie parcheggio'!$C$4:$C$22</definedName>
    <definedName name="CalcOn_OneriSmaltRif">'Riepilogo oneri e costi'!$G$84</definedName>
    <definedName name="CalcOn_OneriUrbPrim">'Riepilogo oneri e costi'!$G$54</definedName>
    <definedName name="CalcOn_OneriUrbSec">'Riepilogo oneri e costi'!$G$73</definedName>
    <definedName name="CC_AltriCosti_DescMaggCostoCAreeAgr">'Riepilogo oneri e costi'!$B$191</definedName>
    <definedName name="CC_AltriCosti_DescMaggOnPrimRecSott">'Riepilogo oneri e costi'!#REF!</definedName>
    <definedName name="CC_AltriCosti_DescMaggOnRecSottF2Primaria">'Riepilogo oneri e costi'!#REF!</definedName>
    <definedName name="CC_AltriCosti_DescMaggOnRecSottF2Secondaria">'Riepilogo oneri e costi'!#REF!</definedName>
    <definedName name="CC_AltriCosti_DescMaggOnSecRecSott">'Riepilogo oneri e costi'!#REF!</definedName>
    <definedName name="CC_AltriCosti_Sanzione">'Riepilogo oneri e costi'!$L$189</definedName>
    <definedName name="CC_AltriCosti_SanzioneLabel">'Riepilogo oneri e costi'!$B$189</definedName>
    <definedName name="CC_AltriCosti_ValoreMaggCCRecSott">'Riepilogo oneri e costi'!$M$169</definedName>
    <definedName name="CC_AltriCosti_ValoreMaggCostoCAreeAgr">'Riepilogo oneri e costi'!$M$191</definedName>
    <definedName name="CC_AltriCosti_ValoreMaggOnPrimRecSott">'Riepilogo oneri e costi'!$M$63</definedName>
    <definedName name="CC_AltriCosti_ValoreMaggOnRecSott">'Riepilogo oneri e costi'!$M$74</definedName>
    <definedName name="CC_AltriCosti_ValoreMaggOnRecSottF2Primaria">'Riepilogo oneri e costi'!#REF!</definedName>
    <definedName name="CC_AltriCosti_ValoreMaggOnRecSottF2Secondaria">'Riepilogo oneri e costi'!#REF!</definedName>
    <definedName name="CC_AltriCosti_ValoreMaggOnSecRecSott">'Riepilogo oneri e costi'!#REF!</definedName>
    <definedName name="CC_CommercioTerziario">'Riepilogo oneri e costi'!$L$165</definedName>
    <definedName name="CC_Corrisposto">'Riepilogo oneri e costi'!$M$173</definedName>
    <definedName name="cc_CostoCostRecSottProg">'Riepilogo oneri e costi'!$L$167</definedName>
    <definedName name="CC_lblPersonalizzazione1">'Riepilogo oneri e costi'!$B$40</definedName>
    <definedName name="CC_MaggConsumoSuolo">'Riepilogo oneri e costi'!$M$172</definedName>
    <definedName name="Cc_Modalitacalcolo" localSheetId="7">'Costo costruzione statofatto'!$D$3</definedName>
    <definedName name="Cc_Modalitacalcolo">'Costo costruzione progetto'!$D$3</definedName>
    <definedName name="CC_Oblazione">'Riepilogo oneri e costi'!$L$188</definedName>
    <definedName name="CC_Oneri_Urb_Prim_Corrisposti">'Riepilogo oneri e costi'!$M$68</definedName>
    <definedName name="CC_Oneri_Urb_Sec_Corrisposti">'Riepilogo oneri e costi'!$M$79</definedName>
    <definedName name="Cc_OneriSmaltRifiutiRif">'Riepilogo oneri e costi'!$L$86</definedName>
    <definedName name="Cc_OneriUrbPrimariaRif">'Riepilogo oneri e costi'!$L$71</definedName>
    <definedName name="Cc_OneriUrbSecondariaRif">'Riepilogo oneri e costi'!$L$82</definedName>
    <definedName name="CC_OpereUrbPrimRealizzate">'Riepilogo oneri e costi'!$M$69</definedName>
    <definedName name="CC_OpereUrbSecRealizzate">'Riepilogo oneri e costi'!$M$80</definedName>
    <definedName name="CC_Residenziale">'Riepilogo oneri e costi'!$L$163</definedName>
    <definedName name="CC_RiduzioneDensificazione">'Riepilogo oneri e costi'!$M$171</definedName>
    <definedName name="CC_RiduzioneDensificazione_StFatto_Prog">'Riepilogo oneri e costi'!$M$180</definedName>
    <definedName name="CC_RiduzionePianoCasa">'Riepilogo oneri e costi'!$M$170</definedName>
    <definedName name="CC_RiduzionePianoCasa_StFatto_Prog">'Riepilogo oneri e costi'!$M$179</definedName>
    <definedName name="CC_SanzioneCostoCostruzione">'Riepilogo oneri e costi'!#REF!</definedName>
    <definedName name="CC_SanzioneCostoCostruzione_StFatto_Prog">'Riepilogo oneri e costi'!#REF!</definedName>
    <definedName name="CC_SanzioneOneriUrbPrim">'Riepilogo oneri e costi'!#REF!</definedName>
    <definedName name="CC_SanzioneOneriUrbSec">'Riepilogo oneri e costi'!#REF!</definedName>
    <definedName name="CC_SanzioneSmaltimentoRifiuti">'Riepilogo oneri e costi'!#REF!</definedName>
    <definedName name="CC_SmaltimRif_Corrisposti">'Riepilogo oneri e costi'!$M$85</definedName>
    <definedName name="CC_StFatto_MaggConsumoSuolo">'Riepilogo oneri e costi'!$M$181</definedName>
    <definedName name="CC_UrbPrimScomputati">'Riepilogo oneri e costi'!$M$70</definedName>
    <definedName name="CC_UrbSecScomputati">'Riepilogo oneri e costi'!$M$81</definedName>
    <definedName name="CCSF_DettContCostoCost_SommaIncrementi" localSheetId="7">'Costo costruzione statofatto'!$K$32</definedName>
    <definedName name="ccSottotetti_AliquotaContributo">#REF!</definedName>
    <definedName name="CCStatoFatto_SupCalcolo" localSheetId="6">'Costo Costruzione'!$M$13</definedName>
    <definedName name="CCStatoFatto_SupCalcolo">'Costo costruzione statofatto'!$L$35</definedName>
    <definedName name="Co_MonAreeParc">'Riepilogo oneri e costi'!$L$193</definedName>
    <definedName name="Co_MonAreeStand">'Riepilogo oneri e costi'!$L$192</definedName>
    <definedName name="Co_NEdResPrim" localSheetId="6">'Riepilogo oneri e costi'!$F$5</definedName>
    <definedName name="Co_NEdResPrim">'Riepilogo oneri e costi'!$F$5</definedName>
    <definedName name="Co_NEdResSec">'Riepilogo oneri e costi'!$F$6</definedName>
    <definedName name="Co_NEdSottPrim" localSheetId="6">'Riepilogo oneri e costi'!$L$37</definedName>
    <definedName name="Complessivo_ConMagg">'Riepilogo oneri e costi'!$L$196</definedName>
    <definedName name="ConsumoSuolo">'Descrizione dell''intervento'!$G$11</definedName>
    <definedName name="Costo_costruzione_Corrisposto">'Riepilogo generale'!$E$44</definedName>
    <definedName name="CostoBase_CommTerz">Parametri!$B$105</definedName>
    <definedName name="CostoBase_NuovaEdif">Parametri!$B$103</definedName>
    <definedName name="CostoBase_Ristrutturaz">Parametri!$B$104</definedName>
    <definedName name="CostoCost_CommTerz_CcEdificio">'Costo Costruzione'!$F$27</definedName>
    <definedName name="CostoCost_Nuov_Ampl_EscCorrisposto">'Costo Costruzione'!$F$34</definedName>
    <definedName name="CostoCost_NuovaCommTerz_ContrBaseMinistValore">'Costo Costruzione'!$F$31</definedName>
    <definedName name="CostoCost_NuovaCost_CcEdificio">'Costo Costruzione'!$F$23</definedName>
    <definedName name="CostoCost_NuovaCost_ContrBaseMinistAliq">'Costo Costruzione'!$E$30</definedName>
    <definedName name="CostoCost_NuovaCost_ContrBaseMinistValore">'Costo Costruzione'!$F$30</definedName>
    <definedName name="CostoCost_NuovaCost_ContrComEstComAliq">'Costo Costruzione'!$E$33</definedName>
    <definedName name="CostoCost_NuovaCost_ContrComEstResAliq">'Costo Costruzione'!$E$32</definedName>
    <definedName name="CostoCost_NuovaCost_SupCompl">'Costo Costruzione'!$F$17</definedName>
    <definedName name="CostoCost_NuovaCostComm_ComputoEstim">'Costo Costruzione'!$F$15</definedName>
    <definedName name="CostoCost_NuovaCostComm_SupCompl">'Costo Costruzione'!$F$14</definedName>
    <definedName name="CostoCost_NuovaCostResid_ComputoEstim">'Costo Costruzione'!$F$8</definedName>
    <definedName name="CostoCost_NuovaCostResid_SupCompl">'Costo Costruzione'!$F$7</definedName>
    <definedName name="CostoCost_NuovaEdif_Dovuto">'Costo Costruzione'!$F$40</definedName>
    <definedName name="CostoCost_Riferimento">'Costo Costruzione'!#REF!</definedName>
    <definedName name="CostoCost_Riferimento_Valore">'Costo Costruzione'!$F$42</definedName>
    <definedName name="CostoCost_Rist_CcEdificio">'Costo Costruzione'!$M$23</definedName>
    <definedName name="CostoCost_Rist_ContrBaseMinistAliq">'Costo Costruzione'!$L$30</definedName>
    <definedName name="CostoCost_Rist_ContrBaseMinistValore">'Costo Costruzione'!$M$30</definedName>
    <definedName name="CostoCost_Rist_ContrComEstComAliq">'Costo Costruzione'!$L$33</definedName>
    <definedName name="CostoCost_Rist_ContrComEstResAliq">'Costo Costruzione'!$L$32</definedName>
    <definedName name="CostoCost_Rist_Resid_ComputoEstim">'Costo Costruzione'!$M$8</definedName>
    <definedName name="CostoCost_Rist_SupCompl">'Costo Costruzione'!$M$17</definedName>
    <definedName name="CostoCost_RistComm_ComputoEstim">'Costo Costruzione'!$M$15</definedName>
    <definedName name="CostoCost_RistComm_SupCompl">'Costo Costruzione'!$M$14</definedName>
    <definedName name="CostoCost_RistCommTerz_ContrBaseMinistValore">'Costo Costruzione'!$M$31</definedName>
    <definedName name="CostoCost_Ristr_EscCorrisposto">'Costo Costruzione'!$M$34</definedName>
    <definedName name="CostoCost_RistrAmpl_Dovuto">'Costo Costruzione'!$M$40</definedName>
    <definedName name="CostoCost_RistResid_SupCompl">'Costo Costruzione'!$M$7</definedName>
    <definedName name="CostoCost_Sot_CcEdificio">'Costo Costruzione'!$R$23</definedName>
    <definedName name="CostoCost_Sot_ContrBaseMinistAliq">'Costo Costruzione'!$Q$30</definedName>
    <definedName name="CostoCost_Sot_ContrComEstResAliq">'Costo Costruzione'!$Q$32</definedName>
    <definedName name="CostoCost_Sot_SupCompl">'Costo Costruzione'!$R$17</definedName>
    <definedName name="CostoCost_Sott_ContEscMagg">'Costo Costruzione'!$R$34</definedName>
    <definedName name="CostoCost_Sott_PercentMagg">'Costo Costruzione'!$R$37</definedName>
    <definedName name="CostoCost_Sottotetti_ComputoEstim">'Costo Costruzione'!$R$8</definedName>
    <definedName name="CostoCost_Sottotetti_ContrBaseMinistValore">'Costo Costruzione'!$R$30</definedName>
    <definedName name="CostoCost_SottotResid_SupCompl">'Costo Costruzione'!$R$7</definedName>
    <definedName name="CostoCostFinale_NuovaCostComm_ComputoEstim">'Costo Costruzione'!$F$33</definedName>
    <definedName name="CostoCostFinale_NuovaCostResid_ComputoEstim">'Costo Costruzione'!$F$32</definedName>
    <definedName name="CostoCostFinale_Rist_Resid_ComputoEstim">'Costo Costruzione'!$M$32</definedName>
    <definedName name="CostoCostFinale_RistComm_ComputoEstim">'Costo Costruzione'!$M$33</definedName>
    <definedName name="CostoCostFinale_Sottotetti_ComputoEstim">'Costo Costruzione'!$R$32</definedName>
    <definedName name="CostoCostProg_ContributoDovuto">'Costo costruzione progetto'!$N$52</definedName>
    <definedName name="CostoCostr_NuovaEdif_corrisposto_concessione_cong">'Costo Costruzione'!$F$37</definedName>
    <definedName name="CostoCostr_NuovaEdif_corrisposto_varianti">'Costo Costruzione'!$F$38</definedName>
    <definedName name="CostoCostr_NuovaEdif_Prog_corrisposto_concessione_cong">'Costo costruzione progetto'!$N$49</definedName>
    <definedName name="CostoCostr_NuovaEdif_Prog_corrisposto_varianti">'Costo costruzione progetto'!$N$50</definedName>
    <definedName name="CostoCostr_NuovaEdif_StFatto_corrisposto_concessione_cong">'Costo costruzione statofatto'!$N$49</definedName>
    <definedName name="CostoCostr_NuovaEdif_StFatto_corrisposto_varianti">'Costo costruzione statofatto'!$N$50</definedName>
    <definedName name="CostoCostr_Prog_StFatto_corrisposto">'Riepilogo oneri e costi'!$M$182</definedName>
    <definedName name="CostoCostr_Ristrutt_corrisposto_concessione_cong">'Costo Costruzione'!$M$37</definedName>
    <definedName name="CostoCostr_Ristrutt_corrisposto_varianti">'Costo Costruzione'!$M$38</definedName>
    <definedName name="CostoCostStatoFatto_ContributoDovuto">'Costo costruzione statofatto'!$N$52</definedName>
    <definedName name="DatiGen_IntervSanOnerosaForfImp">'Descrizione dell''intervento'!$G$6</definedName>
    <definedName name="DatiGen_ResidenzialeClasseA">'Descrizione dell''intervento'!$G$12</definedName>
    <definedName name="Densificazione">'Descrizione dell''intervento'!$G$10</definedName>
    <definedName name="DescInt_RisparmioPercent">'Descrizione dell''intervento'!$G$13</definedName>
    <definedName name="DescInt_RisparmioPercent_Etic">'Descrizione dell''intervento'!$B$13</definedName>
    <definedName name="DetCL_DettContCostoCost_SommaIncrementi">'Determinazione classe'!$M$32</definedName>
    <definedName name="DetClasse_Abitanti">Parametri!$C$135</definedName>
    <definedName name="DetClasse_CostoCostruzClasse">'Determinazione classe'!$N$32</definedName>
    <definedName name="DetClasse_CostoMaggioratoCommTerz">'Determinazione classe'!$O$41</definedName>
    <definedName name="DetClasse_CostoMaggioratoNuovaEdif">'Determinazione classe'!$O$35</definedName>
    <definedName name="DetClasse_CostoMaggioratoRistr">'Determinazione classe'!$O$38</definedName>
    <definedName name="DetClasse_Maggiorazione">'Determinazione classe'!$O$32</definedName>
    <definedName name="DetClasse_NomeMatrice">'Determinazione classe'!$K$3</definedName>
    <definedName name="DetClasse_NomeMatriceMinClassi">'Determinazione classe'!$L$3</definedName>
    <definedName name="DetClasse_SelCaratt">'Determinazione classe'!$B$24:$B$29</definedName>
    <definedName name="DetClasse_SupUtile">'Determinazione classe'!$G$11</definedName>
    <definedName name="DetClasseEdificio_SupUtile">'Determinazione classe'!$E$11</definedName>
    <definedName name="DettaglioCostoCostruz_Classe" localSheetId="7">'Costo costruzione statofatto'!$L$32</definedName>
    <definedName name="DettaglioCostoCostruz_Classe">'Costo costruzione progetto'!$L$32</definedName>
    <definedName name="DettaglioCostoCostruz_TipoIntervento" localSheetId="7">'Costo costruzione statofatto'!$D$2</definedName>
    <definedName name="DettaglioCostoCostruz_TipoIntervento">'Costo costruzione progetto'!$D$2</definedName>
    <definedName name="DettContCostoCost_SommaIncrementi">'Costo costruzione progetto'!$K$32</definedName>
    <definedName name="DettContCostoCost_Sottot_Dovuto">'Costo Costruzione'!$R$40</definedName>
    <definedName name="DettCosCostruz_SupCalcolo">'Costo costruzione progetto'!$L$35</definedName>
    <definedName name="DettCosCostruz_SupCalcolo_Sottot">#REF!</definedName>
    <definedName name="dimensione_planimetrica_1">'Calcolo superfici edificio'!$K$34:$K$58</definedName>
    <definedName name="dimensione_planimetrica_1_totale">'Calcolo superfici edificio'!$K$59</definedName>
    <definedName name="dimensione_planimetrica_2">'Calcolo superfici edificio'!$L$34:$L$58</definedName>
    <definedName name="dimensione_planimetrica_2_totale">'Calcolo superfici edificio'!$L$59</definedName>
    <definedName name="dimensione_planimetrica_3">'Calcolo superfici edificio'!$M$34:$M$58</definedName>
    <definedName name="dimensione_planimetrica_3_totale">'Calcolo superfici edificio'!$M$59</definedName>
    <definedName name="dimensione_planimetrica_4">'Calcolo superfici edificio'!$N$34:$N$58</definedName>
    <definedName name="dimensione_planimetrica_4_totale">'Calcolo superfici edificio'!$N$59</definedName>
    <definedName name="dimensione_planimetrica_5">'Calcolo superfici edificio'!$O$34:$O$58</definedName>
    <definedName name="dimensione_planimetrica_5_totale">'Calcolo superfici edificio'!$O$59</definedName>
    <definedName name="dimensione_planimetrica_snr1_totale">'Calcolo superfici edificio'!$O$66</definedName>
    <definedName name="dimensione_planimetrica_snr2_totale">'Calcolo superfici edificio'!$O$68</definedName>
    <definedName name="dimensione_planimetrica_snr3_totale">'Calcolo superfici edificio'!$O$70</definedName>
    <definedName name="dimensione_planimetrica_totali">'Calcolo superfici edificio'!$K$59:$O$59</definedName>
    <definedName name="EdiliziaConvenzionata">'Descrizione dell''intervento'!$G$7</definedName>
    <definedName name="elenco_riepilogo_sua_snr">'Calcolo superfici edificio'!$G$7:$G$14</definedName>
    <definedName name="ElencoZone">Parametri!$B$4:$B$48</definedName>
    <definedName name="ElencoZoneMonetizzazione">Parametri!$B$88:$B$92</definedName>
    <definedName name="ElencoZoneMonetizzazione_Parcheggi">Parametri!$B$96:$B$100</definedName>
    <definedName name="ElencoZoneTerritoriali">Parametri!$B$53:$B$68</definedName>
    <definedName name="FormulaHide1">'Determinazione classe'!$M$23</definedName>
    <definedName name="ImportoAltriCosti" localSheetId="6">'Riepilogo oneri e costi'!#REF!</definedName>
    <definedName name="ImportoAltriCosti" localSheetId="7">'Riepilogo oneri e costi'!#REF!</definedName>
    <definedName name="ImportoAltriCosti" localSheetId="5">'Riepilogo oneri e costi'!#REF!</definedName>
    <definedName name="ImportoAltriCosti">'Riepilogo oneri e costi'!$L$194</definedName>
    <definedName name="ImportoAmmenda">'Riepilogo oneri e costi'!#REF!</definedName>
    <definedName name="ImportoCostoCostruzione">'Riepilogo oneri e costi'!$L$174</definedName>
    <definedName name="ImportoCostoCostruzione_AltriCosti">'Riepilogo oneri e costi'!#REF!</definedName>
    <definedName name="ImportoCostoCostruzione_conAltriCosti">'Riepilogo oneri e costi'!$L$185</definedName>
    <definedName name="ImportoCostoCostruzione_MaggRiduz">'Riepilogo oneri e costi'!#REF!</definedName>
    <definedName name="ImportoCostoCostruzione_senzaAltriCosti">'Riepilogo oneri e costi'!#REF!</definedName>
    <definedName name="ImportoCostoCostruzione_StatoFattoProgetto">'Riepilogo oneri e costi'!$L$183</definedName>
    <definedName name="ImportoOneri_CambioUso">'Riepilogo oneri e costi'!$M$152</definedName>
    <definedName name="ImportoOneri_Nuovadif">'Riepilogo oneri e costi'!$F$60</definedName>
    <definedName name="ImportoOneri_RecSott">'Riepilogo oneri e costi'!$N$39</definedName>
    <definedName name="ImportoOneri_Ristrutt">'Riepilogo oneri e costi'!$J$60</definedName>
    <definedName name="ImportoOneriSmaltimentoRif" localSheetId="6">'Riepilogo oneri e costi'!$M$84</definedName>
    <definedName name="ImportoOneriSmaltimentoRif" localSheetId="7">'Riepilogo oneri e costi'!$M$84</definedName>
    <definedName name="ImportoOneriSmaltimentoRif" localSheetId="5">'Riepilogo oneri e costi'!$M$84</definedName>
    <definedName name="ImportoOneriSmaltimentoRif">'Riepilogo oneri e costi'!$M$84</definedName>
    <definedName name="ImportoOneriSmaltRif_NuovaDest">'Riepilogo oneri e costi'!$L$151</definedName>
    <definedName name="ImportoOneriUrb1">'Riepilogo oneri e costi'!$L$62</definedName>
    <definedName name="ImportoOneriUrb1_NuovaDest">'Riepilogo oneri e costi'!$L$149</definedName>
    <definedName name="ImportoOneriUrb2">'Riepilogo oneri e costi'!$L$73</definedName>
    <definedName name="ImportoOneriUrb2_NuovaDest">'Riepilogo oneri e costi'!$L$150</definedName>
    <definedName name="ImportoOneriUrbanizzazione" localSheetId="6">'Riepilogo oneri e costi'!$L$88</definedName>
    <definedName name="ImportoOneriUrbanizzazione" localSheetId="7">'Riepilogo oneri e costi'!$L$88</definedName>
    <definedName name="ImportoOneriUrbanizzazione" localSheetId="5">'Riepilogo oneri e costi'!$L$88</definedName>
    <definedName name="ImportoOneriUrbanizzazione">'Riepilogo oneri e costi'!$L$88</definedName>
    <definedName name="ImportoOneriUrbanizzazione_AltriCosti">'Riepilogo oneri e costi'!#REF!</definedName>
    <definedName name="ImportoOneriUrbanizzazione_NuovaDest">'Riepilogo oneri e costi'!$L$154</definedName>
    <definedName name="ImportoOneriUrbanizzazione_Riferimento">'Riepilogo oneri e costi'!$L$157</definedName>
    <definedName name="ImportoOneriUrbanizzazione_Riferimento_hide">#REF!</definedName>
    <definedName name="ImportoOneriUrbPrim_NuovaDest">'Riepilogo oneri e costi'!$L$149</definedName>
    <definedName name="ImportoOneriUrbRecSottPrimaria">'Riepilogo oneri e costi'!$L$37</definedName>
    <definedName name="ImportoOneriUrbRecSottPrimaria_NuovaDest">'Riepilogo oneri e costi'!#REF!</definedName>
    <definedName name="ImportoOneriUrbRecSottSecondaria">'Riepilogo oneri e costi'!$L$38</definedName>
    <definedName name="ImportoOneriUrbRecSottSecondaria_NuovaDest">'Riepilogo oneri e costi'!#REF!</definedName>
    <definedName name="ImportoSmaltRifiuti_NuovaDest">'Riepilogo oneri e costi'!$L$155</definedName>
    <definedName name="InSanatoria">'Descrizione dell''intervento'!$G$5</definedName>
    <definedName name="link_descrizione_intervento">'Descrizione dell''intervento'!$B$2</definedName>
    <definedName name="link_monetizzazione_standards">'Descrizione dell''intervento'!$B$82</definedName>
    <definedName name="link_oneri_urbanizzazione">'Descrizione dell''intervento'!$B$16</definedName>
    <definedName name="link_oneri_urbanizzazione_cambio_uso">'Descrizione dell''intervento'!$B$65</definedName>
    <definedName name="Maggiorazione" localSheetId="6">'Riepilogo generale'!$E$73</definedName>
    <definedName name="Maggiorazione" localSheetId="7">'Riepilogo generale'!$E$73</definedName>
    <definedName name="Maggiorazione" localSheetId="5">'Riepilogo generale'!$E$73</definedName>
    <definedName name="Maggiorazione">'Riepilogo generale'!$E$73</definedName>
    <definedName name="MatriceParametri">Parametri!$C$4:$AD$48</definedName>
    <definedName name="Monetizz_Aree_sup" localSheetId="6">'Descrizione dell''intervento'!$G$85</definedName>
    <definedName name="Monetizz_Aree_sup" localSheetId="7">'Descrizione dell''intervento'!$G$85</definedName>
    <definedName name="Monetizz_Aree_sup" localSheetId="5">'Descrizione dell''intervento'!$G$85</definedName>
    <definedName name="Monetizz_Aree_sup">'Descrizione dell''intervento'!$G$85</definedName>
    <definedName name="Monetizz_Parcheggi_Sup" localSheetId="6">'Descrizione dell''intervento'!$G$91</definedName>
    <definedName name="Monetizz_Parcheggi_Sup" localSheetId="7">'Descrizione dell''intervento'!$G$91</definedName>
    <definedName name="Monetizz_Parcheggi_Sup" localSheetId="5">'Descrizione dell''intervento'!$G$91</definedName>
    <definedName name="Monetizz_Parcheggi_Sup">'Descrizione dell''intervento'!$G$91</definedName>
    <definedName name="Monetizzazione" localSheetId="6">'Riepilogo oneri e costi'!$L$150</definedName>
    <definedName name="Monetizzazione" localSheetId="7">'Riepilogo oneri e costi'!$L$150</definedName>
    <definedName name="Monetizzazione" localSheetId="5">'Riepilogo oneri e costi'!$L$150</definedName>
    <definedName name="Monetizzazione">'Riepilogo oneri e costi'!$L$193</definedName>
    <definedName name="OC_RispEnerResid_Hide">'Riepilogo oneri e costi'!$N$5</definedName>
    <definedName name="OC_RispEnerSecResid_Hide">'Riepilogo oneri e costi'!$N$6</definedName>
    <definedName name="Oneri_Urb_Prim_Corrisposti">'Descrizione dell''intervento'!$G$19</definedName>
    <definedName name="oneri_urb_prim_dest_finale">'Riepilogo oneri e costi'!$J$145</definedName>
    <definedName name="oneri_urb_prim_dest_iniziale">'Riepilogo oneri e costi'!$F$145</definedName>
    <definedName name="Oneri_Urb_Sec_Corrisposti">'Descrizione dell''intervento'!$G$20</definedName>
    <definedName name="oneri_urb_sec_dest_finale">'Riepilogo oneri e costi'!$J$146</definedName>
    <definedName name="oneri_urb_sec_dest_iniziale">'Riepilogo oneri e costi'!$F$146</definedName>
    <definedName name="OneriTotali" localSheetId="6">'Riepilogo oneri e costi'!$L$158</definedName>
    <definedName name="OneriTotali" localSheetId="7">'Riepilogo oneri e costi'!$L$158</definedName>
    <definedName name="OneriTotali" localSheetId="5">'Riepilogo oneri e costi'!$L$158</definedName>
    <definedName name="OneriTotali">'Riepilogo oneri e costi'!#REF!</definedName>
    <definedName name="OnPrim_MaggiorazioneConsumoSuolo">'Riepilogo oneri e costi'!#REF!</definedName>
    <definedName name="OnPrim_RiduzioneDensificazione">'Riepilogo oneri e costi'!$M$66</definedName>
    <definedName name="OnPrim_RiduzionePianoCasa">'Riepilogo oneri e costi'!$M$64</definedName>
    <definedName name="OnPrim_RiduzioneRispEnerg">'Riepilogo oneri e costi'!$M$67</definedName>
    <definedName name="OnPrim_RiduzioneSostituzione">'Riepilogo oneri e costi'!$M$65</definedName>
    <definedName name="OnSec_MaggiorazioneConsumoSuolo">'Riepilogo oneri e costi'!#REF!</definedName>
    <definedName name="OnSec_RiduzioneDensificazione">'Riepilogo oneri e costi'!$M$77</definedName>
    <definedName name="OnSec_RiduzionePianoCasa">'Riepilogo oneri e costi'!$M$75</definedName>
    <definedName name="OnSec_RiduzioneRispEnerg">'Riepilogo oneri e costi'!$M$78</definedName>
    <definedName name="OnSec_RiduzioneSostituzione">'Riepilogo oneri e costi'!$M$76</definedName>
    <definedName name="OnUrb_AltriCosti_DescMaggCostoCAreeAgr">'Riepilogo oneri e costi'!$B$190</definedName>
    <definedName name="OnUrb_AltriCosti_ValoreMaggCostoCAreeAgr">'Riepilogo oneri e costi'!$M$190</definedName>
    <definedName name="OpereUrbPrimRealizzate">'Descrizione dell''intervento'!$G$22</definedName>
    <definedName name="OpereUrbSecRealizzate">'Descrizione dell''intervento'!$G$23</definedName>
    <definedName name="opzioni">Parametri!$I$88:$I$89</definedName>
    <definedName name="Ou_Cost_AttCulSan_NuovaEdif">'Descrizione dell''intervento'!$G$32</definedName>
    <definedName name="Ou_Cost_AttSpett_NuovaEdif">'Descrizione dell''intervento'!$G$34</definedName>
    <definedName name="Ou_Cost_AttSport_NuovaEdif">'Descrizione dell''intervento'!$G$33</definedName>
    <definedName name="Ou_Cost_Comm_NuovaEdif">'Descrizione dell''intervento'!$G$28</definedName>
    <definedName name="Ou_Cost_IndAlb_NuovaEdif">'Descrizione dell''intervento'!$G$30</definedName>
    <definedName name="Ou_Cost_IndArt_NuovaEdif">'Descrizione dell''intervento'!$G$29</definedName>
    <definedName name="Ou_Cost_Parc_NuovaEdif">'Descrizione dell''intervento'!$G$31</definedName>
    <definedName name="Ou_Cost_Personalizzazione1_NuovaEdif">'Descrizione dell''intervento'!$G$35</definedName>
    <definedName name="Ou_Cost_Personalizzazione2_NuovaEdif">'Descrizione dell''intervento'!$G$36</definedName>
    <definedName name="Ou_Cost_Personalizzazione3_NuovaEdif">'Descrizione dell''intervento'!$G$37</definedName>
    <definedName name="Ou_Cost_Personalizzazione4_NuovaEdif">'Descrizione dell''intervento'!$G$38</definedName>
    <definedName name="Ou_Cost_Personalizzazione5_NuovaEdif">'Descrizione dell''intervento'!$G$39</definedName>
    <definedName name="Ou_Cost_Res_NuovaEdif">'Descrizione dell''intervento'!$G$27</definedName>
    <definedName name="Ou_NuovaEd_AreaAgricola">'Descrizione dell''intervento'!$D$47</definedName>
    <definedName name="Ou_NuovaEd_AreaAgricolaPerc">'Descrizione dell''intervento'!$G$47</definedName>
    <definedName name="Ou_NuovaEd_AreaAgricolaSupAreaAg">'Descrizione dell''intervento'!$F$47</definedName>
    <definedName name="Ou_NuovaEd_AreaAgricolaSupLotto">'Descrizione dell''intervento'!$E$47</definedName>
    <definedName name="Ou_NuovaEd_AttSpet_CompMet">'Descrizione dell''intervento'!#REF!</definedName>
    <definedName name="Ou_NuovaEd_AttSpet_ParReale">'Descrizione dell''intervento'!$D$34</definedName>
    <definedName name="Ou_NuovaEd_AttSpet_ParVirt">'Descrizione dell''intervento'!$G$74</definedName>
    <definedName name="Ou_NuovaEd_AttSpor_CompMet">'Descrizione dell''intervento'!#REF!</definedName>
    <definedName name="Ou_NuovaEd_AttSpor_ParReale">'Descrizione dell''intervento'!$D$33</definedName>
    <definedName name="Ou_NuovaEd_AttSpor_ParVirt">'Descrizione dell''intervento'!$G$73</definedName>
    <definedName name="Ou_NuovaEd_Com_CompMet" localSheetId="6">'Descrizione dell''intervento'!#REF!</definedName>
    <definedName name="Ou_NuovaEd_Com_CompMet" localSheetId="7">'Descrizione dell''intervento'!#REF!</definedName>
    <definedName name="Ou_NuovaEd_Com_CompMet" localSheetId="5">'Descrizione dell''intervento'!#REF!</definedName>
    <definedName name="Ou_NuovaEd_Com_ParReale">'Descrizione dell''intervento'!$D$28</definedName>
    <definedName name="Ou_NuovaEd_Com_ParVirt">'Descrizione dell''intervento'!$G$68</definedName>
    <definedName name="Ou_NuovaEd_CultSan_CompMet">'Descrizione dell''intervento'!#REF!</definedName>
    <definedName name="Ou_NuovaEd_CultSan_ParReale">'Descrizione dell''intervento'!$D$32</definedName>
    <definedName name="Ou_NuovaEd_CultSan_ParVirt">'Descrizione dell''intervento'!$G$72</definedName>
    <definedName name="Ou_NuovaEd_IndAlb_CompMet">'Descrizione dell''intervento'!#REF!</definedName>
    <definedName name="Ou_NuovaEd_IndAlb_ParReale">'Descrizione dell''intervento'!$D$30</definedName>
    <definedName name="Ou_NuovaEd_IndAlb_ParVirt">'Descrizione dell''intervento'!$G$70</definedName>
    <definedName name="Ou_NuovaEd_IndArt_CompMet">'Descrizione dell''intervento'!#REF!</definedName>
    <definedName name="Ou_NuovaEd_IndArt_ParReale">'Descrizione dell''intervento'!$D$29</definedName>
    <definedName name="Ou_NuovaEd_IndArt_ParVirt">'Descrizione dell''intervento'!$G$69</definedName>
    <definedName name="Ou_NuovaEd_ParSil_CompMet">'Descrizione dell''intervento'!#REF!</definedName>
    <definedName name="Ou_NuovaEd_ParSil_ParReale">'Descrizione dell''intervento'!$D$31</definedName>
    <definedName name="Ou_NuovaEd_ParSil_ParVirt">'Descrizione dell''intervento'!$G$71</definedName>
    <definedName name="Ou_NuovaEd_Person1_ParVirt">'Descrizione dell''intervento'!$G$75</definedName>
    <definedName name="Ou_NuovaEd_Person2_ParVirt">'Descrizione dell''intervento'!$G$76</definedName>
    <definedName name="Ou_NuovaEd_Person3_ParVirt">'Descrizione dell''intervento'!$G$77</definedName>
    <definedName name="Ou_NuovaEd_Person4_ParVirt">'Descrizione dell''intervento'!$G$78</definedName>
    <definedName name="Ou_NuovaEd_Person5_ParVirt">'Descrizione dell''intervento'!$G$79</definedName>
    <definedName name="Ou_NuovaEd_Res_ParVirt">'Descrizione dell''intervento'!$G$67</definedName>
    <definedName name="Ou_NuovaEd_Sottotetti_ParReale">'Descrizione dell''intervento'!$G$43</definedName>
    <definedName name="Ou_NuovaEd_Sottotetti_ParVirt">'Descrizione dell''intervento'!$E$80</definedName>
    <definedName name="Ou_NuovaEd_SottotettiNonAbit_ParReale" localSheetId="6">'Descrizione dell''intervento'!#REF!</definedName>
    <definedName name="Ou_NuovaEd_SottotettiNonAbit_ParReale" localSheetId="7">'Descrizione dell''intervento'!#REF!</definedName>
    <definedName name="Ou_NuovaEd_SottotettiNonAbit_ParReale" localSheetId="5">'Descrizione dell''intervento'!#REF!</definedName>
    <definedName name="Ou_NuovaEd_SottotettiNonAbit_ParReale">'Descrizione dell''intervento'!#REF!</definedName>
    <definedName name="Ou_PrimariaDefiniti">'Descrizione dell''intervento'!$G$17</definedName>
    <definedName name="Ou_Rist_AttSpet">'Descrizione dell''intervento'!$G$58</definedName>
    <definedName name="Ou_Rist_AttSpet_CompMet">'Descrizione dell''intervento'!$F$58</definedName>
    <definedName name="Ou_Rist_AttSpet_ParReale">'Descrizione dell''intervento'!$D$58</definedName>
    <definedName name="Ou_Rist_AttSpet_ParVirt">'Descrizione dell''intervento'!$E$58</definedName>
    <definedName name="Ou_Rist_AttSpor">'Descrizione dell''intervento'!$G$57</definedName>
    <definedName name="Ou_Rist_AttSpor_CompMet">'Descrizione dell''intervento'!$F$57</definedName>
    <definedName name="Ou_Rist_AttSpor_ParReale">'Descrizione dell''intervento'!$D$57</definedName>
    <definedName name="Ou_Rist_AttSpor_ParVirt">'Descrizione dell''intervento'!$E$57</definedName>
    <definedName name="Ou_Rist_Com">'Descrizione dell''intervento'!$G$52</definedName>
    <definedName name="Ou_Rist_Com_CompMet">'Descrizione dell''intervento'!$F$52</definedName>
    <definedName name="Ou_Rist_Com_ParReale">'Descrizione dell''intervento'!$D$52</definedName>
    <definedName name="Ou_Rist_Com_ParVirt">'Descrizione dell''intervento'!$E$52</definedName>
    <definedName name="Ou_Rist_CultSan">'Descrizione dell''intervento'!$G$56</definedName>
    <definedName name="Ou_Rist_CultSan_CompMet">'Descrizione dell''intervento'!$F$56</definedName>
    <definedName name="Ou_Rist_CultSan_ParReale">'Descrizione dell''intervento'!$D$56</definedName>
    <definedName name="Ou_Rist_CultSan_ParVirt">'Descrizione dell''intervento'!$E$56</definedName>
    <definedName name="Ou_Rist_IndAlb">'Descrizione dell''intervento'!$G$54</definedName>
    <definedName name="Ou_Rist_IndAlb_CompMet">'Descrizione dell''intervento'!$F$54</definedName>
    <definedName name="Ou_Rist_IndAlb_ParReale">'Descrizione dell''intervento'!$D$54</definedName>
    <definedName name="Ou_Rist_IndAlb_ParVirt">'Descrizione dell''intervento'!$E$54</definedName>
    <definedName name="Ou_Rist_IndArt">'Descrizione dell''intervento'!$G$53</definedName>
    <definedName name="Ou_Rist_IndArt_CompMet">'Descrizione dell''intervento'!$F$53</definedName>
    <definedName name="Ou_Rist_IndArt_ParReale">'Descrizione dell''intervento'!$D$53</definedName>
    <definedName name="Ou_Rist_IndArt_ParVirt">'Descrizione dell''intervento'!$E$53</definedName>
    <definedName name="Ou_Rist_ParSil">'Descrizione dell''intervento'!$G$55</definedName>
    <definedName name="Ou_Rist_ParSil_CompMet">'Descrizione dell''intervento'!$F$55</definedName>
    <definedName name="Ou_Rist_ParSil_ParReale">'Descrizione dell''intervento'!$D$55</definedName>
    <definedName name="Ou_Rist_ParSil_ParVirt">'Descrizione dell''intervento'!$E$55</definedName>
    <definedName name="Ou_Rist_Personalizzazione1">'Descrizione dell''intervento'!$G$59</definedName>
    <definedName name="Ou_Rist_Personalizzazione1_CompMet">'Descrizione dell''intervento'!$F$59</definedName>
    <definedName name="Ou_Rist_Personalizzazione1_ParReale">'Descrizione dell''intervento'!$D$59</definedName>
    <definedName name="Ou_Rist_Personalizzazione1_ParVirt">'Descrizione dell''intervento'!$E$59</definedName>
    <definedName name="Ou_Rist_Personalizzazione2">'Descrizione dell''intervento'!$G$60</definedName>
    <definedName name="Ou_Rist_Personalizzazione2_CompMet">'Descrizione dell''intervento'!$F$60</definedName>
    <definedName name="Ou_Rist_Personalizzazione2_ParReale">'Descrizione dell''intervento'!$D$60</definedName>
    <definedName name="Ou_Rist_Personalizzazione2_ParVirt">'Descrizione dell''intervento'!$E$60</definedName>
    <definedName name="Ou_Rist_Personalizzazione3">'Descrizione dell''intervento'!$G$61</definedName>
    <definedName name="Ou_Rist_Personalizzazione3_CompMet">'Descrizione dell''intervento'!$F$61</definedName>
    <definedName name="Ou_Rist_Personalizzazione3_ParReale">'Descrizione dell''intervento'!$D$61</definedName>
    <definedName name="Ou_Rist_Personalizzazione3_ParVirt">'Descrizione dell''intervento'!$E$61</definedName>
    <definedName name="Ou_Rist_Personalizzazione4">'Descrizione dell''intervento'!$G$62</definedName>
    <definedName name="Ou_Rist_Personalizzazione4_CompMet">'Descrizione dell''intervento'!$F$62</definedName>
    <definedName name="Ou_Rist_Personalizzazione4_ParReale">'Descrizione dell''intervento'!$D$62</definedName>
    <definedName name="Ou_Rist_Personalizzazione4_ParVirt">'Descrizione dell''intervento'!$E$62</definedName>
    <definedName name="Ou_Rist_Personalizzazione5">'Descrizione dell''intervento'!$G$63</definedName>
    <definedName name="Ou_Rist_Personalizzazione5_CompMet">'Descrizione dell''intervento'!$F$63</definedName>
    <definedName name="Ou_Rist_Personalizzazione5_ParReale">'Descrizione dell''intervento'!$D$63</definedName>
    <definedName name="Ou_Rist_Personalizzazione5_ParVirt">'Descrizione dell''intervento'!$E$63</definedName>
    <definedName name="Ou_Rist_Res">'Descrizione dell''intervento'!$G$51</definedName>
    <definedName name="Ou_Rist_Res_CompMet">'Descrizione dell''intervento'!$F$51</definedName>
    <definedName name="Ou_Rist_Res_ParReale" localSheetId="6">'Descrizione dell''intervento'!$D$51</definedName>
    <definedName name="Ou_Rist_Res_ParReale" localSheetId="7">'Descrizione dell''intervento'!$D$51</definedName>
    <definedName name="Ou_Rist_Res_ParReale" localSheetId="5">'Descrizione dell''intervento'!$D$51</definedName>
    <definedName name="Ou_Rist_Res_ParReale">'Descrizione dell''intervento'!$D$51</definedName>
    <definedName name="Ou_Rist_Res_ParVirt">'Descrizione dell''intervento'!$E$51</definedName>
    <definedName name="Ou_SecDefiniti">'Descrizione dell''intervento'!$G$18</definedName>
    <definedName name="Ou_UsoIniziale_AttSpet_ParVirt">'Descrizione dell''intervento'!$F$74</definedName>
    <definedName name="Ou_UsoIniziale_AttSpor_ParVirt">'Descrizione dell''intervento'!$F$73</definedName>
    <definedName name="Ou_UsoIniziale_Com_ParVirt">'Descrizione dell''intervento'!$F$68</definedName>
    <definedName name="Ou_UsoIniziale_CultSan_ParVirt">'Descrizione dell''intervento'!$F$72</definedName>
    <definedName name="Ou_UsoIniziale_IndAlb_ParVirt">'Descrizione dell''intervento'!$F$70</definedName>
    <definedName name="Ou_UsoIniziale_IndArt_ParVirt">'Descrizione dell''intervento'!$F$69</definedName>
    <definedName name="Ou_UsoIniziale_ParSil_ParVirt">'Descrizione dell''intervento'!$F$71</definedName>
    <definedName name="Ou_UsoIniziale_Person1_ParVirt">'Descrizione dell''intervento'!$F$75</definedName>
    <definedName name="Ou_UsoIniziale_Person2_ParVirt">'Descrizione dell''intervento'!$F$76</definedName>
    <definedName name="Ou_UsoIniziale_Person3_ParVirt">'Descrizione dell''intervento'!$F$77</definedName>
    <definedName name="Ou_UsoIniziale_Person4_ParVirt">'Descrizione dell''intervento'!$F$78</definedName>
    <definedName name="Ou_UsoIniziale_Person5_ParVirt">'Descrizione dell''intervento'!$F$79</definedName>
    <definedName name="Ou_UsoIniziale_Res_ParVirt">'Descrizione dell''intervento'!$F$67</definedName>
    <definedName name="Par_PianoCasa_Rid">Parametri!$B$117</definedName>
    <definedName name="Par_PianoCasa_RidCC">Parametri!$C$117</definedName>
    <definedName name="Par_Rid_ConsumoSuolo">Parametri!$B$131</definedName>
    <definedName name="Par_Rid_Densificazione_CC">Parametri!$C$128</definedName>
    <definedName name="Par_Rid_Densificazione_Oneri">Parametri!$B$128</definedName>
    <definedName name="Par_Sostituzione_Rid_Oneri">Parametri!$B$121</definedName>
    <definedName name="Parametri_Aliquota_terziario_nuova_costr">Parametri!$B$109</definedName>
    <definedName name="Parametri_Aliquota_terziario_ristrutt">Parametri!$C$109</definedName>
    <definedName name="Parametri_Classi">Parametri!$B$139:$G$149</definedName>
    <definedName name="Parametri_ClassiSopr50000Ab">Parametri!$B$153:$G$163</definedName>
    <definedName name="Parametri_ColonnaDesinazione1">Parametri!$C$2</definedName>
    <definedName name="Parametri_DestUsoPersonalizzazione1">Parametri!$C$72</definedName>
    <definedName name="Parametri_DestUsoPersonalizzazione10">Parametri!$C$81</definedName>
    <definedName name="Parametri_DestUsoPersonalizzazione11">Parametri!$C$82</definedName>
    <definedName name="Parametri_DestUsoPersonalizzazione12">Parametri!$C$83</definedName>
    <definedName name="Parametri_DestUsoPersonalizzazione13">Parametri!$C$84</definedName>
    <definedName name="Parametri_DestUsoPersonalizzazione2">Parametri!$C$73</definedName>
    <definedName name="Parametri_DestUsoPersonalizzazione3">Parametri!$C$74</definedName>
    <definedName name="Parametri_DestUsoPersonalizzazione4">Parametri!$C$75</definedName>
    <definedName name="Parametri_DestUsoPersonalizzazione5">Parametri!$C$76</definedName>
    <definedName name="Parametri_DestUsoPersonalizzazione6">Parametri!$C$77</definedName>
    <definedName name="Parametri_DestUsoPersonalizzazione7">Parametri!$C$78</definedName>
    <definedName name="Parametri_DestUsoPersonalizzazione8">Parametri!$C$79</definedName>
    <definedName name="Parametri_DestUsoPersonalizzazione9">Parametri!$C$80</definedName>
    <definedName name="Parametri_DirittiTecnici">Parametri!#REF!</definedName>
    <definedName name="Parametri_DirSegrUnitario">Parametri!#REF!</definedName>
    <definedName name="Parametri_ElencoPercRidConsumoSuolo">Parametri!$B$131:$C$133</definedName>
    <definedName name="Parametri_ElencoZoneMatrice">Parametri!$B$88:$E$92</definedName>
    <definedName name="Parametri_ElencoZoneMonetizzAreeStandDesc">Parametri!$C$88:$C$92</definedName>
    <definedName name="Parametri_ElencoZoneMonetizzParcheggiDesc">Parametri!$C$96:$C$100</definedName>
    <definedName name="Parametri_ElencoZoneParcheggiMatrice">Parametri!$B$96:$E$100</definedName>
    <definedName name="Parametri_ElencoZoneTerritorialiDesc">Parametri!$C$53:$C$68</definedName>
    <definedName name="Parametri_MaggiorazioneAreeAgric">Parametri!$B$124</definedName>
    <definedName name="Parametri_MaggiorazioneSottotetti">Parametri!$B$113</definedName>
    <definedName name="Parametri_MaggiorazioneSottotettiCC">Parametri!$C$113</definedName>
    <definedName name="Parametri_MaggiorazioneSottotettiF2">Parametri!#REF!</definedName>
    <definedName name="Parametri_MaxClassi">Parametri!$D$139:$D$149</definedName>
    <definedName name="Parametri_MaxClassiSopr50000Ab">Parametri!$D$153:$D$163</definedName>
    <definedName name="Parametri_MinClassi">Parametri!$C$139:$C$149</definedName>
    <definedName name="Parametri_MinClassiSopr50000Ab">Parametri!$C$153:$C$163</definedName>
    <definedName name="Parametri_MonetizzazioneAreeStand">Parametri!$C$88:$E$92</definedName>
    <definedName name="Parametri_MonetizzazioneParcheggi">Parametri!$C$96:$E$100</definedName>
    <definedName name="Parcheggio_Recupero_Sottotetti">'Calcolo superficie parcheggio'!$D$23</definedName>
    <definedName name="passo_descrizione_intervento">'Procedura guidata'!$X$3:$AC$5</definedName>
    <definedName name="PianoCasa">'Descrizione dell''intervento'!$G$8</definedName>
    <definedName name="Rateizzazione_1RataCC">Rateizzazione!$D$11</definedName>
    <definedName name="Rateizzazione_1RataOnPrim">Rateizzazione!$D$13</definedName>
    <definedName name="Rateizzazione_1RataOnSec">Rateizzazione!$D$14</definedName>
    <definedName name="Rateizzazione_1RataSR">Rateizzazione!$D$12</definedName>
    <definedName name="Rateizzazione_2RataCC">Rateizzazione!$E$22</definedName>
    <definedName name="Rateizzazione_2RataOnPrim">Rateizzazione!$E$24</definedName>
    <definedName name="Rateizzazione_2RataOnSec">Rateizzazione!$E$25</definedName>
    <definedName name="Rateizzazione_2RataSR">Rateizzazione!$E$23</definedName>
    <definedName name="Rateizzazione_3RataCC">Rateizzazione!$F$22</definedName>
    <definedName name="Rateizzazione_3RataOnPrim">Rateizzazione!$F$24</definedName>
    <definedName name="Rateizzazione_3RataOnSec">Rateizzazione!$F$25</definedName>
    <definedName name="Rateizzazione_3RataSR">Rateizzazione!$F$23</definedName>
    <definedName name="Rateizzazione_4RataCC">Rateizzazione!$G$22</definedName>
    <definedName name="Rateizzazione_4RataOnPrim">Rateizzazione!$G$24</definedName>
    <definedName name="Rateizzazione_4RataOnSec">Rateizzazione!$G$25</definedName>
    <definedName name="Rateizzazione_4RataSR">Rateizzazione!$G$23</definedName>
    <definedName name="Rateizzazione_DataProtocollo">Rateizzazione!$G$5</definedName>
    <definedName name="Rateizzazione_ImportoFidejussione">Rateizzazione!$G$35</definedName>
    <definedName name="Rateizzazione_InteresseLegale">Rateizzazione!$G$6</definedName>
    <definedName name="Rateizzazione_Sanzioni">Rateizzazione!$G$33</definedName>
    <definedName name="Rateizzazione_Scadenza1Rata">Rateizzazione!$D$18</definedName>
    <definedName name="Rateizzazione_Scadenza2Rata">Rateizzazione!$E$29</definedName>
    <definedName name="Rateizzazione_Scadenza3Rata">Rateizzazione!$F$29</definedName>
    <definedName name="Rateizzazione_Scadenza4Rata">Rateizzazione!$G$29</definedName>
    <definedName name="Rateizzazione_ScadenzaFidejussione">Rateizzazione!$G$37</definedName>
    <definedName name="Rateizzazione_Totale1Rata">Rateizzazione!$D$16</definedName>
    <definedName name="Rateizzazione_Totale2Rata">Rateizzazione!$E$27</definedName>
    <definedName name="Rateizzazione_Totale3Rata">Rateizzazione!$F$27</definedName>
    <definedName name="Rateizzazione_Totale4Rata">Rateizzazione!$G$27</definedName>
    <definedName name="Rateizzazione_TotaleRate">Rateizzazione!$G$32</definedName>
    <definedName name="Riep_DatiProg_EvSupSottRec">'Riepilogo generale'!$E$76</definedName>
    <definedName name="Riep_DatiProg_SupComp">'Riepilogo generale'!$E$74</definedName>
    <definedName name="Riepilogo_AltriCosti">'Riepilogo generale'!$E$66</definedName>
    <definedName name="Riepilogo_Ammenda">'Riepilogo generale'!#REF!</definedName>
    <definedName name="Riepilogo_CC_AltriCosti_ValoreMaggCostoCAreeAgr">'Riepilogo generale'!$E$64</definedName>
    <definedName name="Riepilogo_Cc_OneriSmaltRifiutiRif">'Riepilogo generale'!$E$33</definedName>
    <definedName name="Riepilogo_CC_RiduzioneDensificazione">'Riepilogo generale'!$E$42</definedName>
    <definedName name="Riepilogo_CC_RiduzionePianoCasa">'Riepilogo generale'!$E$41</definedName>
    <definedName name="Riepilogo_CC_SanzioneSmaltimentoRifiuti">'Riepilogo generale'!#REF!</definedName>
    <definedName name="Riepilogo_ContCostCompresaMagg">'Riepilogo generale'!$E$68</definedName>
    <definedName name="Riepilogo_Contributo_costruzione">'Riepilogo generale'!$E$56</definedName>
    <definedName name="Riepilogo_CostoCostEsclusoSott">'Riepilogo generale'!$E$38</definedName>
    <definedName name="Riepilogo_CostoCostruzione">'Riepilogo generale'!$E$45</definedName>
    <definedName name="Riepilogo_CostoCostruzione_StatoFattoProgetto">'Riepilogo generale'!$E$52</definedName>
    <definedName name="Riepilogo_CostoCostruzione_totale">'Riepilogo generale'!$E$54</definedName>
    <definedName name="Riepilogo_CostoCostSott">'Riepilogo generale'!$E$39</definedName>
    <definedName name="Riepilogo_DirittiTecnici">'Riepilogo generale'!$E$65</definedName>
    <definedName name="Riepilogo_MaggCostoCostConsumoSuolo">'Riepilogo generale'!$E$43</definedName>
    <definedName name="Riepilogo_MaggCostoCostSott">'Riepilogo generale'!$E$40</definedName>
    <definedName name="Riepilogo_MaggCostoStFattoCostConsumoSuolo">'Riepilogo generale'!$E$50</definedName>
    <definedName name="Riepilogo_MaggOneriUrbPrimConsumoSuolo">'Riepilogo generale'!#REF!</definedName>
    <definedName name="Riepilogo_MaggOneriUrbPrimSott">'Riepilogo generale'!$E$7</definedName>
    <definedName name="Riepilogo_MaggOneriUrbSecConsumoSuolo">'Riepilogo generale'!#REF!</definedName>
    <definedName name="Riepilogo_MaggOneriUrbSecSott">'Riepilogo generale'!$E$20</definedName>
    <definedName name="Riepilogo_MonetizzAreeStand">'Riepilogo generale'!$E$61</definedName>
    <definedName name="Riepilogo_MonetizzParcheggi">'Riepilogo generale'!$E$62</definedName>
    <definedName name="Riepilogo_Oblazione">'Riepilogo generale'!$E$59</definedName>
    <definedName name="Riepilogo_Oneri_RiduzionePianoCasa">'Riepilogo generale'!#REF!</definedName>
    <definedName name="Riepilogo_Oneri_Urb_Prim_Corrisposti">'Riepilogo generale'!$E$12</definedName>
    <definedName name="Riepilogo_Oneri_Urb_Prim_Scomputo">'Riepilogo generale'!$E$14</definedName>
    <definedName name="Riepilogo_Oneri_Urb_Sec_Corrisposti">'Riepilogo generale'!$E$25</definedName>
    <definedName name="Riepilogo_Oneri_Urb_Sec_Scomputo">'Riepilogo generale'!$E$27</definedName>
    <definedName name="Riepilogo_OneriSecPrim">'Riepilogo generale'!$E$28</definedName>
    <definedName name="Riepilogo_OneriSmaltRifiutiCambioUso">'Riepilogo generale'!$E$31</definedName>
    <definedName name="Riepilogo_OneriSmaltRifiutiRif">'Riepilogo generale'!$E$30</definedName>
    <definedName name="Riepilogo_OneriUrbanizzazione">'Riepilogo generale'!$E$35</definedName>
    <definedName name="Riepilogo_OneriUrbPrim">'Riepilogo generale'!$E$15</definedName>
    <definedName name="Riepilogo_OneriUrbPrimCambioUso">'Riepilogo generale'!$E$5</definedName>
    <definedName name="Riepilogo_OneriUrbPrimEsclusoSott">'Riepilogo generale'!$E$4</definedName>
    <definedName name="Riepilogo_OneriUrbPrimSott">'Riepilogo generale'!$E$6</definedName>
    <definedName name="Riepilogo_OneriUrbSecCambioUso">'Riepilogo generale'!$E$18</definedName>
    <definedName name="Riepilogo_OneriUrbSecEsclusoSott">'Riepilogo generale'!$E$17</definedName>
    <definedName name="Riepilogo_OneriUrbSecSott">'Riepilogo generale'!$E$19</definedName>
    <definedName name="Riepilogo_OnUrb_AltriCosti_ValoreMaggCostoCAreeAgr">'Riepilogo generale'!$E$63</definedName>
    <definedName name="Riepilogo_OpereUrbPrimRealizzate">'Riepilogo generale'!$E$13</definedName>
    <definedName name="Riepilogo_OpereUrbSecRealizzate">'Riepilogo generale'!$E$26</definedName>
    <definedName name="Riepilogo_RiduDensificazioneOneriUrbPrim">'Riepilogo generale'!$E$10</definedName>
    <definedName name="Riepilogo_RiduDensificazioneOneriUrbSec">'Riepilogo generale'!$E$23</definedName>
    <definedName name="Riepilogo_RiduPianoCasaOneriUrbPrim">'Riepilogo generale'!$E$8</definedName>
    <definedName name="Riepilogo_RiduPianoCasaOneriUrbSec">'Riepilogo generale'!$E$21</definedName>
    <definedName name="Riepilogo_RiduRispEnerOup">'Riepilogo generale'!$E$11</definedName>
    <definedName name="Riepilogo_RiduRispEnerOus">'Riepilogo generale'!$E$24</definedName>
    <definedName name="Riepilogo_RiduSostituzioneOneriUrbPrim">'Riepilogo generale'!$E$9</definedName>
    <definedName name="Riepilogo_RiduSostituzioneOneriUrbSec">'Riepilogo generale'!$E$22</definedName>
    <definedName name="Riepilogo_Sanzione">'Riepilogo generale'!$E$60</definedName>
    <definedName name="Riepilogo_SanzioneCostoCostruzione">'Riepilogo generale'!#REF!</definedName>
    <definedName name="Riepilogo_SanzioneOneriUrbPrim">'Riepilogo generale'!#REF!</definedName>
    <definedName name="Riepilogo_SanzioneOneriUrbSec">'Riepilogo generale'!#REF!</definedName>
    <definedName name="Riepilogo_SmaltimRif_Corrisposti">'Riepilogo generale'!$E$32</definedName>
    <definedName name="Riepilogo_ulteriori_oneri">'Riepilogo generale'!#REF!</definedName>
    <definedName name="RiepilogoCostoCostruzione_StatoFattoProgetto_Corrisposto">'Riepilogo generale'!$E$51</definedName>
    <definedName name="RiepilogoCostoCostruzione_StatoFattoProgetto_Densifcazione">'Riepilogo generale'!$E$49</definedName>
    <definedName name="RiepilogoCostoCostruzione_StatoFattoProgetto_Dovuto">'Riepilogo generale'!$E$47</definedName>
    <definedName name="RiepilogoCostoCostruzione_StatoFattoProgetto_PianoCasa">'Riepilogo generale'!$E$48</definedName>
    <definedName name="RisparmioEnergetico_VolumeNettoResid" localSheetId="6">'Descrizione dell''intervento'!#REF!</definedName>
    <definedName name="RisparmioEnergetico_VolumeNettoResid" localSheetId="7">'Descrizione dell''intervento'!#REF!</definedName>
    <definedName name="RisparmioEnergetico_VolumeNettoResid" localSheetId="5">'Descrizione dell''intervento'!#REF!</definedName>
    <definedName name="RisparmioEnergetico_VolumeNettoResid">'Descrizione dell''intervento'!#REF!</definedName>
    <definedName name="RistruttEdil_IndusAlberg_CambioDest">'Descrizione dell''intervento'!$G$80</definedName>
    <definedName name="selezione_ampliamento">'Procedura guidata'!$L$8</definedName>
    <definedName name="selezione_calcolo_completo">'Procedura guidata'!#REF!</definedName>
    <definedName name="selezione_cambio_uso">'Procedura guidata'!$AQ$8</definedName>
    <definedName name="selezione_costo_costr_comp_nuova_costruzione">'Procedura guidata'!#REF!</definedName>
    <definedName name="selezione_costo_costr_comp_ristrutturazione">'Procedura guidata'!#REF!</definedName>
    <definedName name="selezione_costo_costr_standard_ampliamento">'Procedura guidata'!#REF!</definedName>
    <definedName name="selezione_costo_costr_standard_cambio_uso">'Procedura guidata'!#REF!</definedName>
    <definedName name="selezione_costo_costr_standard_nuova_costruzione">'Procedura guidata'!#REF!</definedName>
    <definedName name="selezione_costo_costr_standard_ristrutturazione">'Procedura guidata'!#REF!</definedName>
    <definedName name="selezione_costo_costr_standard_sottotetti">'Procedura guidata'!#REF!</definedName>
    <definedName name="selezione_descrizione_intervento">'Procedura guidata'!#REF!</definedName>
    <definedName name="selezione_monetizzazione_ampliamento">'Procedura guidata'!#REF!</definedName>
    <definedName name="selezione_monetizzazione_cambio_uso">'Procedura guidata'!#REF!</definedName>
    <definedName name="selezione_monetizzazione_nuova_costr">'Procedura guidata'!#REF!</definedName>
    <definedName name="selezione_monetizzazione_sottotetti">'Procedura guidata'!#REF!</definedName>
    <definedName name="selezione_nuova_costr_calcolo_costo">'Procedura guidata'!#REF!</definedName>
    <definedName name="selezione_nuova_costr_classe">'Procedura guidata'!#REF!</definedName>
    <definedName name="selezione_nuova_costr_progetto">'Procedura guidata'!$D$39</definedName>
    <definedName name="selezione_nuova_costr_stato_fatto">'Procedura guidata'!$D$35</definedName>
    <definedName name="selezione_nuova_costruzione">'Procedura guidata'!$B$8</definedName>
    <definedName name="selezione_oneri_ampliamento">'Procedura guidata'!#REF!</definedName>
    <definedName name="selezione_oneri_cambio_uso">'Procedura guidata'!#REF!</definedName>
    <definedName name="selezione_oneri_nuova_costruzione">'Procedura guidata'!#REF!</definedName>
    <definedName name="selezione_oneri_ristrutturazione">'Procedura guidata'!#REF!</definedName>
    <definedName name="selezione_oneri_sottotetti">'Procedura guidata'!#REF!</definedName>
    <definedName name="selezione_parcheggi_sottotetti">'Procedura guidata'!#REF!</definedName>
    <definedName name="selezione_passo_descrizione_intervento">'Procedura guidata'!$W$3</definedName>
    <definedName name="selezione_ristrutt_calcolo_costo">'Procedura guidata'!#REF!</definedName>
    <definedName name="selezione_ristrutt_classe">'Procedura guidata'!#REF!</definedName>
    <definedName name="selezione_ristrutt_progetto">'Procedura guidata'!#REF!</definedName>
    <definedName name="selezione_ristrutt_stato_fatto">'Procedura guidata'!#REF!</definedName>
    <definedName name="selezione_ristrutturazione">'Procedura guidata'!$V$8</definedName>
    <definedName name="selezione_sottotetti">'Procedura guidata'!$AG$8</definedName>
    <definedName name="smalt_rifiuti_dest_finale">'Riepilogo oneri e costi'!$J$147</definedName>
    <definedName name="smalt_rifiuti_dest_iniziale">'Riepilogo oneri e costi'!$F$147</definedName>
    <definedName name="SmaltimRif_Corrisposti">'Descrizione dell''intervento'!$G$21</definedName>
    <definedName name="Solo1_DirittoSegreteria" localSheetId="7">Solo1!#REF!</definedName>
    <definedName name="Sostituzione">'Descrizione dell''intervento'!$G$9</definedName>
    <definedName name="Test">Parametri!$H$88:$K$92</definedName>
    <definedName name="Totale_alloggi_edificio">'Calcolo superfici edificio'!$O$72</definedName>
    <definedName name="Totale_snr_edificio">'Calcolo superfici edificio'!$O$74</definedName>
    <definedName name="Totale_sua_edificio">'Calcolo superfici edificio'!$O$73</definedName>
    <definedName name="TotaleIncrementi" localSheetId="6">'Riepilogo generale'!$E$71</definedName>
    <definedName name="TotaleIncrementi" localSheetId="7">'Riepilogo generale'!$E$71</definedName>
    <definedName name="TotaleIncrementi" localSheetId="5">'Riepilogo generale'!$E$71</definedName>
    <definedName name="TotaleIncrementi">'Riepilogo generale'!$E$71</definedName>
    <definedName name="UIrecuperate">'Riepilogo generale'!$E$81</definedName>
    <definedName name="Volume_Recupero_Sottotetti">'Calcolo superficie parcheggio'!$C$23</definedName>
    <definedName name="Zona1">Parametri!$B$54</definedName>
    <definedName name="Zona10">Parametri!$B$63</definedName>
    <definedName name="Zona11">Parametri!$B$64</definedName>
    <definedName name="Zona12">Parametri!$B$65</definedName>
    <definedName name="Zona13">Parametri!$B$66</definedName>
    <definedName name="Zona14">Parametri!$B$67</definedName>
    <definedName name="Zona15">Parametri!$B$68</definedName>
    <definedName name="Zona2">Parametri!$B$55</definedName>
    <definedName name="Zona3">Parametri!$B$56</definedName>
    <definedName name="Zona4">Parametri!$B$57</definedName>
    <definedName name="Zona5">Parametri!$B$58</definedName>
    <definedName name="Zona6">Parametri!$B$59</definedName>
    <definedName name="Zona7">Parametri!$B$60</definedName>
    <definedName name="Zona8">Parametri!$B$61</definedName>
    <definedName name="Zona9">Parametri!$B$62</definedName>
    <definedName name="ZonaMonetizzazioneAreeStand">'Descrizione dell''intervento'!$G$83</definedName>
    <definedName name="ZonaMonetizzazioneAreeStand_Valore">'Riepilogo oneri e costi'!$O$192</definedName>
    <definedName name="ZonaMonetizzazioneParcheg">'Descrizione dell''intervento'!$G$89</definedName>
    <definedName name="ZonaMonetizzazioneParcheggi_Valore">'Riepilogo oneri e costi'!$O$193</definedName>
    <definedName name="ZonaTerritoriale">'Descrizione dell''intervento'!$G$3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Giovanni Sacco</author>
    <author>Manuel Maffeis</author>
  </authors>
  <commentList>
    <comment ref="B3" authorId="0">
      <text>
        <r>
          <rPr>
            <sz val="9"/>
            <rFont val="Tahoma"/>
            <charset val="134"/>
          </rPr>
          <t>Decreto interministeriale 2 aprile 1968, n. 1444, articolo 2</t>
        </r>
      </text>
    </comment>
    <comment ref="B5" authorId="1">
      <text>
        <r>
          <rPr>
            <sz val="9"/>
            <rFont val="Tahoma"/>
            <charset val="134"/>
          </rPr>
          <t xml:space="preserve">Determina il pagamento di un'oblazione corrispondente al doppio del contributo di costruzione dovuto ai sensi del </t>
        </r>
        <r>
          <rPr>
            <b/>
            <sz val="9"/>
            <rFont val="Tahoma"/>
            <charset val="134"/>
          </rPr>
          <t>DPR 380/01, art. 36, comma 2</t>
        </r>
      </text>
    </comment>
    <comment ref="B6" authorId="0">
      <text>
        <r>
          <rPr>
            <b/>
            <sz val="9"/>
            <rFont val="Tahoma"/>
            <charset val="134"/>
          </rPr>
          <t xml:space="preserve">DPR 380/2001
Art. 37 -  </t>
        </r>
        <r>
          <rPr>
            <sz val="9"/>
            <rFont val="Tahoma"/>
            <charset val="134"/>
          </rPr>
          <t>Interventi eseguiti in assenza o in difformità dalla segnalazione certificata di inizio attività e accertamento di conformità</t>
        </r>
      </text>
    </comment>
    <comment ref="B7" authorId="0">
      <text>
        <r>
          <rPr>
            <sz val="9"/>
            <rFont val="Tahoma"/>
            <charset val="134"/>
          </rPr>
          <t xml:space="preserve">Nei casi di edilizia convenzionata, relativa anche a edifici esistenti, il contributo afferente al permesso di costruire è ridotto alla sola quota degli oneri di urbanizzazione ai sensi del </t>
        </r>
        <r>
          <rPr>
            <b/>
            <sz val="9"/>
            <rFont val="Tahoma"/>
            <charset val="134"/>
          </rPr>
          <t>DPR 380/01, art. 17, comma 1</t>
        </r>
      </text>
    </comment>
    <comment ref="B8" authorId="0">
      <text>
        <r>
          <rPr>
            <sz val="9"/>
            <rFont val="Tahoma"/>
            <charset val="134"/>
          </rPr>
          <t>La</t>
        </r>
        <r>
          <rPr>
            <b/>
            <sz val="9"/>
            <rFont val="Tahoma"/>
            <charset val="134"/>
          </rPr>
          <t xml:space="preserve"> Legge Regionale 13/2009 </t>
        </r>
        <r>
          <rPr>
            <sz val="9"/>
            <rFont val="Tahoma"/>
            <charset val="134"/>
          </rPr>
          <t>è applicabile agli edifici parzialmente residenziali e a quelli non residenziali ubicati in zone a prevalente destinazione residenziale. Le nuove costruzioni dovranno avere un uso esclusivamente residenziale, senza poter beneficiare dei premi volumetrici.
La legge regionale individua quattro tipologie di intervento:
1. Recupero e riutilizzo di volumetrie abbandonate e sottoutilizzate.
2. Ampliamento fino al 20% (e comunque per non più di 300 metri cubi) del volume complessivo di edifici mono e bifamiliari, ovvero di edifici almeno tri-familiari con volumetria non superiore a 1.000 metri cubi.
3. Demolizione e ricostruzione di edifici residenziali e produttivi, con bonus volumetrico sino al 30% del volume preesistente, aumentabile al 35% in presenza di adeguate dotazioni di verde, cioè una dotazione arborea che copra almeno il 25% del lotto.
4. Riqualificazione di quartieri di edilizia residenziale pubblica.
Il piano casa Lombardia stabilisce la facoltà per i Comuni di ridurre gli oneri di urbanizzazione e il contributo sul costo della costruzione. Ove i Comuni non avessero deliberato entro il 15 ottobre 2009, si applicherà una riduzione del 30% del contributo di costruzione. Nel caso di edilizia residenziale pubblica in locazione il contributo di costruzione è limitato agli oneri di urbanizzazione, ridotti del 50%</t>
        </r>
        <r>
          <rPr>
            <b/>
            <sz val="9"/>
            <rFont val="Tahoma"/>
            <charset val="134"/>
          </rPr>
          <t>.
Implica l'applicazione di una riduzione percentuale degli oneri di urbanizzazione o del costo di costruzione o di entrambi</t>
        </r>
        <r>
          <rPr>
            <sz val="9"/>
            <rFont val="Tahoma"/>
            <charset val="134"/>
          </rPr>
          <t xml:space="preserve">
</t>
        </r>
      </text>
    </comment>
    <comment ref="B9" authorId="0">
      <text>
        <r>
          <rPr>
            <b/>
            <sz val="9"/>
            <rFont val="Tahoma"/>
            <charset val="134"/>
          </rPr>
          <t xml:space="preserve">Art. 44 L.R. 12/2005, comma 10bis.
</t>
        </r>
        <r>
          <rPr>
            <sz val="9"/>
            <rFont val="Tahoma"/>
            <charset val="134"/>
          </rPr>
          <t>I comuni, nei casi di ristrutturazione comportante demolizione e ricostruzione ed in quelli di integrale sostituzione edilizia possono ridurre, in misura non inferiore al cinquanta percento, ove dovuti, i contributi per gli oneri di urbanizzazione primaria e secondaria.</t>
        </r>
      </text>
    </comment>
    <comment ref="B10" authorId="0">
      <text>
        <r>
          <rPr>
            <b/>
            <sz val="9"/>
            <rFont val="Tahoma"/>
            <charset val="1"/>
          </rPr>
          <t xml:space="preserve">DPR 380/2001
Art. 17 (L) - Riduzione o esonero dal contributo di costruzione.
4-bis. </t>
        </r>
        <r>
          <rPr>
            <sz val="9"/>
            <rFont val="Tahoma"/>
            <charset val="134"/>
          </rPr>
          <t>Al fine di agevolare gli interventi di densificazione edilizia, per la ristrutturazione, il recupero e il riuso degli immobili dismessi o in via di dismissione, il contributo di costruzione è ridotto in misura non inferiore al venti per cento rispetto a quello previsto per le nuove costruzioni. I comuni definiscono, entro novanta giorni dall'entrata in vigore della presente disposizione, i criteri e le modalità applicative per l'applicazione della relativa riduzione.</t>
        </r>
      </text>
    </comment>
    <comment ref="B11" authorId="0">
      <text>
        <r>
          <rPr>
            <b/>
            <sz val="9"/>
            <rFont val="Tahoma"/>
            <charset val="134"/>
          </rPr>
          <t>Legge Regionale del 28-11-2014, n. 31
Art. 5, comma 10</t>
        </r>
        <r>
          <rPr>
            <sz val="9"/>
            <rFont val="Tahoma"/>
            <charset val="134"/>
          </rPr>
          <t xml:space="preserve">
Fino all'adeguamento di cui al comma 3, viene prevista una maggiorazione percentuale del contributo relativo al costo di costruzione ... così determinata:
</t>
        </r>
        <r>
          <rPr>
            <b/>
            <sz val="9"/>
            <rFont val="Tahoma"/>
            <charset val="134"/>
          </rPr>
          <t>a)</t>
        </r>
        <r>
          <rPr>
            <sz val="9"/>
            <rFont val="Tahoma"/>
            <charset val="134"/>
          </rPr>
          <t xml:space="preserve"> entro un minimo del </t>
        </r>
        <r>
          <rPr>
            <b/>
            <sz val="9"/>
            <rFont val="Tahoma"/>
            <charset val="134"/>
          </rPr>
          <t>venti</t>
        </r>
        <r>
          <rPr>
            <sz val="9"/>
            <rFont val="Tahoma"/>
            <charset val="134"/>
          </rPr>
          <t xml:space="preserve"> ed un massimo del </t>
        </r>
        <r>
          <rPr>
            <b/>
            <sz val="9"/>
            <rFont val="Tahoma"/>
            <charset val="134"/>
          </rPr>
          <t>trenta</t>
        </r>
        <r>
          <rPr>
            <sz val="9"/>
            <rFont val="Tahoma"/>
            <charset val="134"/>
          </rPr>
          <t xml:space="preserve"> per cento, determinata dai comuni, per gli interventi che consumano suolo agricolo nello stato di fatto non ricompresi nel tessuto urbano consolidato; 
</t>
        </r>
        <r>
          <rPr>
            <b/>
            <sz val="9"/>
            <rFont val="Tahoma"/>
            <charset val="134"/>
          </rPr>
          <t>b)</t>
        </r>
        <r>
          <rPr>
            <sz val="9"/>
            <rFont val="Tahoma"/>
            <charset val="134"/>
          </rPr>
          <t xml:space="preserve"> pari alla aliquota del </t>
        </r>
        <r>
          <rPr>
            <b/>
            <sz val="9"/>
            <rFont val="Tahoma"/>
            <charset val="134"/>
          </rPr>
          <t>cinque</t>
        </r>
        <r>
          <rPr>
            <sz val="9"/>
            <rFont val="Tahoma"/>
            <charset val="134"/>
          </rPr>
          <t xml:space="preserve"> per cento, per gli interventi che consumano suolo agricolo nello stato di fatto all'interno del tessuto urbano consolidato; 
</t>
        </r>
        <r>
          <rPr>
            <b/>
            <sz val="9"/>
            <rFont val="Tahoma"/>
            <charset val="134"/>
          </rPr>
          <t>c)</t>
        </r>
        <r>
          <rPr>
            <sz val="9"/>
            <rFont val="Tahoma"/>
            <charset val="134"/>
          </rPr>
          <t xml:space="preserve"> ...</t>
        </r>
      </text>
    </comment>
    <comment ref="B12" authorId="0">
      <text>
        <r>
          <rPr>
            <sz val="9"/>
            <rFont val="Tahoma"/>
            <charset val="134"/>
          </rPr>
          <t>L’amministrazione Comunale, al fine di incentivare gli interventi di edilizia bioclimatica o finalizzati al risparmio energetico, applica un meccanismo premiale sulla determinazione del Contributo di costruzione, avvalendosi delle facoltà ammesse dal disposto di cui all’</t>
        </r>
        <r>
          <rPr>
            <b/>
            <sz val="9"/>
            <rFont val="Tahoma"/>
            <charset val="134"/>
          </rPr>
          <t>art. 12 della Legge regionale n.33 del 28/12/2007</t>
        </r>
        <r>
          <rPr>
            <sz val="9"/>
            <rFont val="Tahoma"/>
            <charset val="134"/>
          </rPr>
          <t>, a integrazione della Legge Regionale 26/95.
In tal senso, qualora gli interventi garantissero una prestazione energetica minima del sistema edificio-impianto corrispondente alla classe A o superiore, i muri perimetrali portanti e di tamponamento, nonché i solai che costituiscono involucro esterno di nuove costruzioni e di ristrutturazioni soggette al rispetto dei limiti di fabbisogno di energia primaria o di trasmittanza termica, previsti dalle disposizioni regionali in materia di risparmio energetico, non sono considerati nei computi per la determinazione della superficie lorda di pavimento (s.l.p.), dei volumi e dei rapporti di copertura.
In sintesi, nel calcolo degli oneri di urbanizzazione dovuti, si fa riferimento al volume netto e non al lordo.</t>
        </r>
      </text>
    </comment>
    <comment ref="F46" authorId="0">
      <text>
        <r>
          <rPr>
            <sz val="9"/>
            <rFont val="Tahoma"/>
            <charset val="134"/>
          </rPr>
          <t>Il valore percentuale dedotto dal rapporto tra la superficie complessiva del lotto e la superficie agricola sottratta nello stato di fatto, rappresenta a tutti gli effetti la maggiorazione da applicare all'importo del contributo di costruzione</t>
        </r>
      </text>
    </comment>
    <comment ref="B47" authorId="0">
      <text>
        <r>
          <rPr>
            <sz val="9"/>
            <rFont val="Tahoma"/>
            <charset val="134"/>
          </rPr>
          <t>L.R. 12/2005 art.43 comma 2-bis. Gli interventi di nuova costruzione che sottraggono superfici agricole nello stato di fatto sono assoggettati ad una maggiorazione percentuale del contributo di costruzione, determinata dai comuni entro un minimo dell'1,5 ed un massimo del 5 per cento, da destinare obbligatoriamente a interventi forestali a rilevanza ecologica e di incremento della naturalità.
(comma introdotto dalla legge reg. n. 4 del 2008, poi così modificato dall'articolo 21 della legge reg. n. 7 del 2010).
In caso di realizzazione diretta delle opere di urbanizzazione, non è ammissibile lo scomputo relativamente alla quota della maggiorazione in argomento, che comunque deve essere versata integralmente.</t>
        </r>
        <r>
          <rPr>
            <b/>
            <sz val="9"/>
            <rFont val="Tahoma"/>
            <charset val="134"/>
          </rPr>
          <t xml:space="preserve">
Implica l'applicazione di una maggiorazione percentuale del contributo di costruzione
</t>
        </r>
      </text>
    </comment>
  </commentList>
</comments>
</file>

<file path=xl/comments2.xml><?xml version="1.0" encoding="utf-8"?>
<comments xmlns="http://schemas.openxmlformats.org/spreadsheetml/2006/main">
  <authors>
    <author>Giovanni Sacco</author>
    <author>Manuel Maffeis</author>
  </authors>
  <commentList>
    <comment ref="D5" authorId="0">
      <text>
        <r>
          <rPr>
            <sz val="9"/>
            <rFont val="Tahoma"/>
            <charset val="134"/>
          </rPr>
          <t>Numero alloggi derivanti dalla compilazione del foglio</t>
        </r>
        <r>
          <rPr>
            <b/>
            <sz val="9"/>
            <rFont val="Tahoma"/>
            <charset val="134"/>
          </rPr>
          <t xml:space="preserve"> "Calcolo superfici edificio"</t>
        </r>
      </text>
    </comment>
    <comment ref="E5" authorId="0">
      <text>
        <r>
          <rPr>
            <sz val="9"/>
            <rFont val="Tahoma"/>
            <charset val="134"/>
          </rPr>
          <t>S.u.a. derivanti dalla compilazione del foglio</t>
        </r>
        <r>
          <rPr>
            <b/>
            <sz val="9"/>
            <rFont val="Tahoma"/>
            <charset val="134"/>
          </rPr>
          <t xml:space="preserve"> "Calcolo superfici edificio".
</t>
        </r>
        <r>
          <rPr>
            <sz val="9"/>
            <rFont val="Tahoma"/>
            <charset val="134"/>
          </rPr>
          <t>Riguarda la superificie di pavimento degli alloggi misurata al netto di murature, pilastri, tramezzi, sguinci, vani di porte e finestre, di eventuali scale interne, di logge e balconi.</t>
        </r>
      </text>
    </comment>
    <comment ref="F5" authorId="0">
      <text>
        <r>
          <rPr>
            <sz val="9"/>
            <rFont val="Tahoma"/>
            <charset val="134"/>
          </rPr>
          <t xml:space="preserve">Compla questo campo solo nel caso in cui non si compili il foglio </t>
        </r>
        <r>
          <rPr>
            <b/>
            <sz val="9"/>
            <rFont val="Tahoma"/>
            <charset val="134"/>
          </rPr>
          <t>"Calcolo superfici edificio"</t>
        </r>
      </text>
    </comment>
    <comment ref="G5" authorId="1">
      <text>
        <r>
          <rPr>
            <sz val="9"/>
            <rFont val="Tahoma"/>
            <charset val="134"/>
          </rPr>
          <t xml:space="preserve">Superficie utile abitabile in mq.
Riguarda la superificie di pavimento degli alloggi misurata al netto di murature, pilastri, tramezzi, sguinci, vani di porte e finestre, di eventuali scale interne, di logge e balconi.
</t>
        </r>
        <r>
          <rPr>
            <b/>
            <sz val="9"/>
            <rFont val="Tahoma"/>
            <charset val="134"/>
          </rPr>
          <t>N.B.</t>
        </r>
        <r>
          <rPr>
            <sz val="9"/>
            <rFont val="Tahoma"/>
            <charset val="134"/>
          </rPr>
          <t>: compila questo campo solo nel caso in cui non si compili il foglio "</t>
        </r>
        <r>
          <rPr>
            <b/>
            <sz val="9"/>
            <rFont val="Tahoma"/>
            <charset val="134"/>
          </rPr>
          <t>Calcolo superfici edificio</t>
        </r>
        <r>
          <rPr>
            <sz val="9"/>
            <rFont val="Tahoma"/>
            <charset val="134"/>
          </rPr>
          <t>"</t>
        </r>
      </text>
    </comment>
    <comment ref="F14" authorId="0">
      <text>
        <r>
          <rPr>
            <sz val="9"/>
            <rFont val="Tahoma"/>
            <charset val="134"/>
          </rPr>
          <t>Superficie non residenziale in mq. derivante dalla compilazione del foglio "</t>
        </r>
        <r>
          <rPr>
            <b/>
            <sz val="9"/>
            <rFont val="Tahoma"/>
            <charset val="134"/>
          </rPr>
          <t>Calcolo superfici edificio</t>
        </r>
        <r>
          <rPr>
            <sz val="9"/>
            <rFont val="Tahoma"/>
            <charset val="134"/>
          </rPr>
          <t>".
Le misurazioni vanno effettuate al netto di murature, pilastri e tramezzi, sguincie vani di porte e finestre</t>
        </r>
      </text>
    </comment>
    <comment ref="G14" authorId="0">
      <text>
        <r>
          <rPr>
            <sz val="9"/>
            <rFont val="Tahoma"/>
            <charset val="134"/>
          </rPr>
          <t xml:space="preserve">Superficie non residenziale in mq.
Le misurazioni vanno effettuate al netto di murature, pilastri e tramezzi, sguincie vani di porte e finestre.
</t>
        </r>
        <r>
          <rPr>
            <b/>
            <sz val="9"/>
            <rFont val="Tahoma"/>
            <charset val="134"/>
          </rPr>
          <t>N.B.</t>
        </r>
        <r>
          <rPr>
            <sz val="9"/>
            <rFont val="Tahoma"/>
            <charset val="134"/>
          </rPr>
          <t>: compila questo campo solo nel caso in cui non si compili il foglio "</t>
        </r>
        <r>
          <rPr>
            <b/>
            <sz val="9"/>
            <rFont val="Tahoma"/>
            <charset val="134"/>
          </rPr>
          <t>Calcolo superfici edificio</t>
        </r>
        <r>
          <rPr>
            <sz val="9"/>
            <rFont val="Tahoma"/>
            <charset val="134"/>
          </rPr>
          <t>"</t>
        </r>
      </text>
    </comment>
  </commentList>
</comments>
</file>

<file path=xl/comments3.xml><?xml version="1.0" encoding="utf-8"?>
<comments xmlns="http://schemas.openxmlformats.org/spreadsheetml/2006/main">
  <authors>
    <author>Manuel Maffeis</author>
  </authors>
  <commentList>
    <comment ref="E5" authorId="0">
      <text>
        <r>
          <rPr>
            <sz val="9"/>
            <rFont val="Tahoma"/>
            <charset val="134"/>
          </rPr>
          <t>Superficie utile abitabile in mq</t>
        </r>
      </text>
    </comment>
  </commentList>
</comments>
</file>

<file path=xl/comments4.xml><?xml version="1.0" encoding="utf-8"?>
<comments xmlns="http://schemas.openxmlformats.org/spreadsheetml/2006/main">
  <authors>
    <author>Manuel Maffeis</author>
  </authors>
  <commentList>
    <comment ref="E5" authorId="0">
      <text>
        <r>
          <rPr>
            <sz val="9"/>
            <rFont val="Tahoma"/>
            <charset val="134"/>
          </rPr>
          <t>Superficie utile abitabile in mq</t>
        </r>
      </text>
    </comment>
  </commentList>
</comments>
</file>

<file path=xl/comments5.xml><?xml version="1.0" encoding="utf-8"?>
<comments xmlns="http://schemas.openxmlformats.org/spreadsheetml/2006/main">
  <authors>
    <author>Giovanni Sacco</author>
  </authors>
  <commentList>
    <comment ref="A2" authorId="0">
      <text>
        <r>
          <rPr>
            <sz val="9"/>
            <rFont val="Tahoma"/>
            <charset val="134"/>
          </rPr>
          <t>l’art. 64, L.R. n.12/2005 dispone che gli interventi rivolti alla realizzazione di nuove unità immobiliari attraverso il recupero dei sottotetti comporti, allo stesso tempo, il reperimento di spazi per parcheggi. La misura dello standard a parcheggio deve rispettare il minimo di 1 m2 ogni 10 m3 della volumetria resa abitativa con un massimo di 25 m2 per ciascuna nuova unità immobiliare.</t>
        </r>
      </text>
    </comment>
  </commentList>
</comments>
</file>

<file path=xl/comments6.xml><?xml version="1.0" encoding="utf-8"?>
<comments xmlns="http://schemas.openxmlformats.org/spreadsheetml/2006/main">
  <authors>
    <author>Giovanni Sacco</author>
  </authors>
  <commentList>
    <comment ref="D10" authorId="0">
      <text>
        <r>
          <rPr>
            <sz val="9"/>
            <rFont val="Tahoma"/>
            <charset val="134"/>
          </rPr>
          <t xml:space="preserve">pari al 25% dell'importo complessivo previsto
</t>
        </r>
      </text>
    </comment>
    <comment ref="D18" authorId="0">
      <text>
        <r>
          <rPr>
            <sz val="9"/>
            <rFont val="Tahoma"/>
            <charset val="134"/>
          </rPr>
          <t xml:space="preserve">Da pagare entro 30 giorni dalla data di protocollazione della domanda 
</t>
        </r>
      </text>
    </comment>
    <comment ref="E22" authorId="0">
      <text>
        <r>
          <rPr>
            <sz val="9"/>
            <rFont val="Tahoma"/>
            <charset val="134"/>
          </rPr>
          <t>Corrispondente al 25% dell'importo totale previsto</t>
        </r>
      </text>
    </comment>
    <comment ref="F22" authorId="0">
      <text>
        <r>
          <rPr>
            <sz val="9"/>
            <rFont val="Tahoma"/>
            <charset val="134"/>
          </rPr>
          <t>Corrispondente al 25% dell'importo totale previsto</t>
        </r>
      </text>
    </comment>
    <comment ref="G22" authorId="0">
      <text>
        <r>
          <rPr>
            <sz val="9"/>
            <rFont val="Tahoma"/>
            <charset val="134"/>
          </rPr>
          <t>Corrispondente al 25% dell'importo totale previsto</t>
        </r>
      </text>
    </comment>
    <comment ref="E23" authorId="0">
      <text>
        <r>
          <rPr>
            <sz val="9"/>
            <rFont val="Tahoma"/>
            <charset val="134"/>
          </rPr>
          <t>determinata dalla somma del 25% dell'importo complessivo previsto e degli interessi legali vigenti maturati in riferimento ai 180 giorni decorrenti dalla data di presentazione della domanda</t>
        </r>
      </text>
    </comment>
    <comment ref="F23" authorId="0">
      <text>
        <r>
          <rPr>
            <sz val="9"/>
            <rFont val="Tahoma"/>
            <charset val="134"/>
          </rPr>
          <t>determinata dalla somma del 25% dell'importo complessivo previsto e degli interessi legali vigenti maturati in riferimento ai 360 giorni decorrenti dalla data di presentazione della domanda</t>
        </r>
      </text>
    </comment>
    <comment ref="G23" authorId="0">
      <text>
        <r>
          <rPr>
            <sz val="9"/>
            <rFont val="Tahoma"/>
            <charset val="134"/>
          </rPr>
          <t>determinata dalla somma del 25% dell'importo complessivo previsto e degli interessi legali vigenti maturati in riferimento ai 540 giorni (18 mesi) decorrenti dalla data di presentazione della domanda</t>
        </r>
      </text>
    </comment>
    <comment ref="E24" authorId="0">
      <text>
        <r>
          <rPr>
            <sz val="9"/>
            <rFont val="Tahoma"/>
            <charset val="134"/>
          </rPr>
          <t>determinata dalla somma del 25% dell'importo complessivo previsto e degli interessi legali vigenti maturati in riferimento ai 180 giorni decorrenti dalla data di presentazione della domanda</t>
        </r>
      </text>
    </comment>
    <comment ref="F24" authorId="0">
      <text>
        <r>
          <rPr>
            <sz val="9"/>
            <rFont val="Tahoma"/>
            <charset val="134"/>
          </rPr>
          <t>determinata dalla somma del 25% dell'importo complessivo previsto e degli interessi legali vigenti maturati in riferimento ai 360 giorni decorrenti dalla data di presentazione della domanda</t>
        </r>
      </text>
    </comment>
    <comment ref="G24" authorId="0">
      <text>
        <r>
          <rPr>
            <sz val="9"/>
            <rFont val="Tahoma"/>
            <charset val="134"/>
          </rPr>
          <t>determinata dalla somma del 25% dell'importo complessivo previsto e degli interessi legali vigenti maturati in riferimento ai 540 giorni (18 mesi) decorrenti dalla data di presentazione della domanda</t>
        </r>
      </text>
    </comment>
    <comment ref="E25" authorId="0">
      <text>
        <r>
          <rPr>
            <sz val="9"/>
            <rFont val="Tahoma"/>
            <charset val="134"/>
          </rPr>
          <t>determinata dalla somma del 25% dell'importo complessivo previsto e degli interessi legali vigenti maturati in riferimento ai 180 giorni decorrenti dalla data di presentazione della domanda</t>
        </r>
      </text>
    </comment>
    <comment ref="F25" authorId="0">
      <text>
        <r>
          <rPr>
            <sz val="9"/>
            <rFont val="Tahoma"/>
            <charset val="134"/>
          </rPr>
          <t>determinata dalla somma del 25% dell'importo complessivo previsto e degli interessi legali vigenti maturati in riferimento ai 360 giorni decorrenti dalla data di presentazione della domanda</t>
        </r>
      </text>
    </comment>
    <comment ref="G25" authorId="0">
      <text>
        <r>
          <rPr>
            <sz val="9"/>
            <rFont val="Tahoma"/>
            <charset val="134"/>
          </rPr>
          <t>determinata dalla somma del 25% dell'importo complessivo previsto e degli interessi legali vigenti maturati in riferimento ai 540 giorni (18 mesi) decorrenti dalla data di presentazione della domanda</t>
        </r>
      </text>
    </comment>
    <comment ref="E29" authorId="0">
      <text>
        <r>
          <rPr>
            <sz val="9"/>
            <rFont val="Tahoma"/>
            <charset val="134"/>
          </rPr>
          <t xml:space="preserve">Da pagare entro 180 giorni dalla data di protocollazione della domanda 
</t>
        </r>
      </text>
    </comment>
    <comment ref="F29" authorId="0">
      <text>
        <r>
          <rPr>
            <sz val="9"/>
            <rFont val="Tahoma"/>
            <charset val="134"/>
          </rPr>
          <t xml:space="preserve">Da pagare entro 360 giorni dalla data di protocollazione della domanda </t>
        </r>
      </text>
    </comment>
    <comment ref="G29" authorId="0">
      <text>
        <r>
          <rPr>
            <sz val="9"/>
            <rFont val="Tahoma"/>
            <charset val="134"/>
          </rPr>
          <t xml:space="preserve">Da pagare entro 540 giorni (18 mesi) dalla data di protocollazione della domanda </t>
        </r>
      </text>
    </comment>
    <comment ref="G33" authorId="0">
      <text>
        <r>
          <rPr>
            <sz val="9"/>
            <rFont val="Tahoma"/>
            <charset val="134"/>
          </rPr>
          <t xml:space="preserve">corrisponde al 40% dell'importo complessivo da versare
</t>
        </r>
      </text>
    </comment>
    <comment ref="G37" authorId="0">
      <text>
        <r>
          <rPr>
            <sz val="9"/>
            <rFont val="Tahoma"/>
            <charset val="134"/>
          </rPr>
          <t>Prevedere una scadenza che corrisponde ad aggiungere ulteriori 18 mesi alla data di scadenza dell'ultima rata</t>
        </r>
      </text>
    </comment>
  </commentList>
</comments>
</file>

<file path=xl/comments7.xml><?xml version="1.0" encoding="utf-8"?>
<comments xmlns="http://schemas.openxmlformats.org/spreadsheetml/2006/main">
  <authors>
    <author>Giovanni Sacco</author>
    <author>Manuel Maffeis</author>
    <author>Marco Vallino</author>
  </authors>
  <commentList>
    <comment ref="B52" authorId="0">
      <text>
        <r>
          <rPr>
            <sz val="9"/>
            <rFont val="Tahoma"/>
            <charset val="134"/>
          </rPr>
          <t>Definire il codice univoco di classificazione delle aree normative di riferimento per il calcolo degli oneri di urbanizzazione</t>
        </r>
      </text>
    </comment>
    <comment ref="C52" authorId="0">
      <text>
        <r>
          <rPr>
            <sz val="9"/>
            <rFont val="Tahoma"/>
            <charset val="134"/>
          </rPr>
          <t>Definire la denominazione relativa a ciascuna area normativa come da vigente piano urbanistico.
Tale denominazione comparirà nel foglio "Descrizione dell'intervento" in corrispondenza dell'area normativa selezionata</t>
        </r>
      </text>
    </comment>
    <comment ref="C71" authorId="0">
      <text>
        <r>
          <rPr>
            <sz val="9"/>
            <rFont val="Tahoma"/>
            <charset val="134"/>
          </rPr>
          <t>Elenco descrittivo di default delle destinazioni d'uso.
La denominazione è personalizzabile e le variazioni apportate saranno applicate in tutte le parti del foglio di calcolo in cui sono riscontrabili</t>
        </r>
      </text>
    </comment>
    <comment ref="C87" authorId="0">
      <text>
        <r>
          <rPr>
            <sz val="9"/>
            <rFont val="Tahoma"/>
            <charset val="134"/>
          </rPr>
          <t>La denominazione è personalizzabile e le variazioni apportate saranno applicate in tutte le parti del foglio di calcolo in cui sono riscontrabili</t>
        </r>
      </text>
    </comment>
    <comment ref="E87" authorId="0">
      <text>
        <r>
          <rPr>
            <sz val="9"/>
            <rFont val="Tahoma"/>
            <charset val="134"/>
          </rPr>
          <t>Importo unitario (€ al mq)</t>
        </r>
      </text>
    </comment>
    <comment ref="C95" authorId="0">
      <text>
        <r>
          <rPr>
            <sz val="9"/>
            <rFont val="Tahoma"/>
            <charset val="134"/>
          </rPr>
          <t>La denominazione è personalizzabile e le variazioni apportate saranno applicate in tutte le parti del foglio di calcolo in cui sono riscontrabili</t>
        </r>
      </text>
    </comment>
    <comment ref="E95" authorId="0">
      <text>
        <r>
          <rPr>
            <sz val="9"/>
            <rFont val="Tahoma"/>
            <charset val="134"/>
          </rPr>
          <t>Importo unitario (€ al mq)</t>
        </r>
      </text>
    </comment>
    <comment ref="B119" authorId="1">
      <text>
        <r>
          <rPr>
            <b/>
            <sz val="9"/>
            <rFont val="Tahoma"/>
            <charset val="134"/>
          </rPr>
          <t>Legge Regionale del 11-03-2005, n. 12 
Art. 44, comma 10bis.</t>
        </r>
        <r>
          <rPr>
            <sz val="9"/>
            <rFont val="Tahoma"/>
            <charset val="134"/>
          </rPr>
          <t xml:space="preserve">
I comuni, nei casi di ristrutturazione comportante demolizione e ricostruzione ed in quelli di integrale sostituzione edilizia possono ridurre, in misura non inferiore al cinquanta percento, ove dovuti, i contributi per gli oneri di urbanizzazione primaria e secondaria.</t>
        </r>
      </text>
    </comment>
    <comment ref="B123" authorId="0">
      <text>
        <r>
          <rPr>
            <b/>
            <sz val="9"/>
            <rFont val="Tahoma"/>
            <charset val="134"/>
          </rPr>
          <t>Legge Regionale del 11-03-2005, n. 12 
art.43 comma 2-bis.</t>
        </r>
        <r>
          <rPr>
            <sz val="9"/>
            <rFont val="Tahoma"/>
            <charset val="134"/>
          </rPr>
          <t xml:space="preserve"> Gli interventi di nuova costruzione che sottraggono superfici agricole nello stato di fatto sono assoggettati ad una maggiorazione percentuale del contributo di costruzione, determinata dai comuni entro un minimo dell'1,5 ed un massimo del 5 per cento, da destinare obbligatoriamente a interventi forestali a rilevanza ecologica e di incremento della naturalità.
(comma introdotto dalla legge reg. n. 4 del 2008, poi così modificato dall'articolo 21 della legge reg. n. 7 del 2010)</t>
        </r>
        <r>
          <rPr>
            <b/>
            <sz val="9"/>
            <rFont val="Tahoma"/>
            <charset val="134"/>
          </rPr>
          <t xml:space="preserve">
</t>
        </r>
        <r>
          <rPr>
            <b/>
            <i/>
            <sz val="9"/>
            <rFont val="Tahoma"/>
            <charset val="134"/>
          </rPr>
          <t>Implica l'applicazione di una maggiorazione percentuale del contributo di costruzione</t>
        </r>
      </text>
    </comment>
    <comment ref="B124" authorId="2">
      <text>
        <r>
          <rPr>
            <sz val="8"/>
            <rFont val="Tahoma"/>
            <charset val="134"/>
          </rPr>
          <t>Inserire un valore compreso tra 1,5 e 5</t>
        </r>
      </text>
    </comment>
    <comment ref="B126" authorId="0">
      <text>
        <r>
          <rPr>
            <b/>
            <sz val="9"/>
            <rFont val="Tahoma"/>
            <charset val="1"/>
          </rPr>
          <t xml:space="preserve">DPR 380/2001
Art. 17 (L) - Riduzione o esonero dal contributo di costruzione.
4-bis. </t>
        </r>
        <r>
          <rPr>
            <sz val="9"/>
            <rFont val="Tahoma"/>
            <charset val="134"/>
          </rPr>
          <t>Al fine di agevolare gli interventi di densificazione edilizia, per la ristrutturazione, il recupero e il riuso degli immobili dismessi o in via di dismissione, il contributo di costruzione è ridotto in misura non inferiore al venti per cento rispetto a quello previsto per le nuove costruzioni. I comuni definiscono, entro novanta giorni dall'entrata in vigore della presente disposizione, i criteri e le modalità applicative per l'applicazione della relativa riduzione.</t>
        </r>
      </text>
    </comment>
    <comment ref="B130" authorId="0">
      <text>
        <r>
          <rPr>
            <b/>
            <sz val="9"/>
            <rFont val="Tahoma"/>
            <charset val="134"/>
          </rPr>
          <t xml:space="preserve">Legge Regionale del 28-11-2014, n. 31
Art. 5, comma 10
</t>
        </r>
        <r>
          <rPr>
            <sz val="9"/>
            <rFont val="Tahoma"/>
            <charset val="134"/>
          </rPr>
          <t xml:space="preserve">Fino all'adeguamento di cui al comma 3, viene prevista una maggiorazione percentuale del contributo relativo al costo di costruzione ... così determinata:
</t>
        </r>
        <r>
          <rPr>
            <b/>
            <sz val="9"/>
            <rFont val="Tahoma"/>
            <charset val="134"/>
          </rPr>
          <t>a)</t>
        </r>
        <r>
          <rPr>
            <sz val="9"/>
            <rFont val="Tahoma"/>
            <charset val="134"/>
          </rPr>
          <t xml:space="preserve"> entro un minimo del </t>
        </r>
        <r>
          <rPr>
            <b/>
            <sz val="9"/>
            <rFont val="Tahoma"/>
            <charset val="134"/>
          </rPr>
          <t>venti</t>
        </r>
        <r>
          <rPr>
            <sz val="9"/>
            <rFont val="Tahoma"/>
            <charset val="134"/>
          </rPr>
          <t xml:space="preserve"> ed un massimo del </t>
        </r>
        <r>
          <rPr>
            <b/>
            <sz val="9"/>
            <rFont val="Tahoma"/>
            <charset val="134"/>
          </rPr>
          <t>trenta</t>
        </r>
        <r>
          <rPr>
            <sz val="9"/>
            <rFont val="Tahoma"/>
            <charset val="134"/>
          </rPr>
          <t xml:space="preserve"> per cento, determinata dai comuni, per gli interventi che consumano suolo agricolo nello stato di fatto non ricompresi nel tessuto urbano consolidato; 
</t>
        </r>
        <r>
          <rPr>
            <b/>
            <sz val="9"/>
            <rFont val="Tahoma"/>
            <charset val="134"/>
          </rPr>
          <t>b)</t>
        </r>
        <r>
          <rPr>
            <sz val="9"/>
            <rFont val="Tahoma"/>
            <charset val="134"/>
          </rPr>
          <t xml:space="preserve"> pari alla aliquota del </t>
        </r>
        <r>
          <rPr>
            <b/>
            <sz val="9"/>
            <rFont val="Tahoma"/>
            <charset val="134"/>
          </rPr>
          <t>cinque</t>
        </r>
        <r>
          <rPr>
            <sz val="9"/>
            <rFont val="Tahoma"/>
            <charset val="134"/>
          </rPr>
          <t xml:space="preserve"> per cento, per gli interventi che consumano suolo agricolo nello stato di fatto all'interno del tessuto urbano consolidato; 
</t>
        </r>
        <r>
          <rPr>
            <b/>
            <sz val="9"/>
            <rFont val="Tahoma"/>
            <charset val="134"/>
          </rPr>
          <t>c)</t>
        </r>
        <r>
          <rPr>
            <sz val="9"/>
            <rFont val="Tahoma"/>
            <charset val="134"/>
          </rPr>
          <t xml:space="preserve"> ...</t>
        </r>
      </text>
    </comment>
  </commentList>
</comments>
</file>

<file path=xl/sharedStrings.xml><?xml version="1.0" encoding="utf-8"?>
<sst xmlns="http://schemas.openxmlformats.org/spreadsheetml/2006/main" count="1197" uniqueCount="409">
  <si>
    <t xml:space="preserve"> </t>
  </si>
  <si>
    <r>
      <rPr>
        <sz val="8"/>
        <rFont val="Arial"/>
        <charset val="134"/>
      </rPr>
      <t>Apponi la "x" sulla cella gialla</t>
    </r>
    <r>
      <rPr>
        <sz val="8"/>
        <color indexed="23"/>
        <rFont val="Arial"/>
        <charset val="134"/>
      </rPr>
      <t xml:space="preserve"> che riguarda dapprima la descrizione dell'intervento e di seguito le tipologie di calcolo relative all'intervento o gli interventi di proprio interesse. Il link posto all'interno della cella selezionata ti indirizzerà sul foglio da compilare. Terminata la compilazione dei dati richiesti, la cella relativa al tipo di calcolo selezionato </t>
    </r>
    <r>
      <rPr>
        <sz val="8"/>
        <rFont val="Arial"/>
        <charset val="134"/>
      </rPr>
      <t>si colorerà di verde</t>
    </r>
    <r>
      <rPr>
        <sz val="8"/>
        <color indexed="23"/>
        <rFont val="Arial"/>
        <charset val="134"/>
      </rPr>
      <t>. Ultimato il calcolo del contributo di costruzione, visualizza la tipologia di riepilogo desiderata.</t>
    </r>
  </si>
  <si>
    <t>o</t>
  </si>
  <si>
    <t>Attiva la procedura</t>
  </si>
  <si>
    <t>Nuova costruzione</t>
  </si>
  <si>
    <t>Ampliamento</t>
  </si>
  <si>
    <t>Ristrutturazione</t>
  </si>
  <si>
    <t>Recupero sottotetti ai fini abitativi</t>
  </si>
  <si>
    <t>Cambio di destinazione d'uso</t>
  </si>
  <si>
    <t>Calcola gli oneri di urbanizzazione</t>
  </si>
  <si>
    <t>Calcola gli  oneri di urbanizzazione</t>
  </si>
  <si>
    <t>Calcola il costo di costruzione</t>
  </si>
  <si>
    <t>Calcola la monetizzazione</t>
  </si>
  <si>
    <t>Calcola le superfici dell'edificio</t>
  </si>
  <si>
    <t>Determina la classe dell'edificio</t>
  </si>
  <si>
    <t>Calcola il costo di       costruzione comparativo</t>
  </si>
  <si>
    <t>Calcola la superficie da adibire a parcheggi</t>
  </si>
  <si>
    <t>Costo per lo stato di fatto</t>
  </si>
  <si>
    <t>Costo per lo stato di progetto</t>
  </si>
  <si>
    <t>richiesta rateizzazione</t>
  </si>
  <si>
    <t>Compila il prospetto previsto nel caso di rateizzazione</t>
  </si>
  <si>
    <t>nessuna rateizzazione</t>
  </si>
  <si>
    <t>Visualizza il riepilogo generale</t>
  </si>
  <si>
    <t>Visualizza il riepilogo analitico degli oneri e costi</t>
  </si>
  <si>
    <t>Riepilogo degli importi dovuti a titolo di contributo di costruzione</t>
  </si>
  <si>
    <t>Urbanizzazione primaria</t>
  </si>
  <si>
    <t>Oneri dovuti nel caso di interventi di nuova edificazione e/o ristrutturazione</t>
  </si>
  <si>
    <t>Oneri dovuti nel caso di interventi di cambio destinazione d'uso</t>
  </si>
  <si>
    <t>Oneri per il recupero dei sottotetti ai fini abitativi</t>
  </si>
  <si>
    <t>Maggiorazione sugli oneri dovuti per il recupero dei sottotetti a fini abitativi</t>
  </si>
  <si>
    <t>Torna alla procedura guidata!</t>
  </si>
  <si>
    <t>Riduzione per l'applicazione del "piano casa"</t>
  </si>
  <si>
    <t>Riduzione per intervento di sostituzione</t>
  </si>
  <si>
    <t>Riduzione per intervento di densificazione</t>
  </si>
  <si>
    <t>Oneri già corrisposti</t>
  </si>
  <si>
    <t>Importo delle opere di urbanizzazione primaria già realizzate</t>
  </si>
  <si>
    <t>Oneri a scomputo</t>
  </si>
  <si>
    <t>Totale</t>
  </si>
  <si>
    <t>Urbanizzazione secondaria</t>
  </si>
  <si>
    <t>Importo delle opere di urbanizzazione secondaria già realizzate</t>
  </si>
  <si>
    <t>Smaltimento rifiuti</t>
  </si>
  <si>
    <t>Oneri di urbanizzazione</t>
  </si>
  <si>
    <t>Contributo sul costo di costruzione</t>
  </si>
  <si>
    <t>Contributo dovuto nel caso di interventi di nuova edificazione e/o ristrutturazione</t>
  </si>
  <si>
    <t>Contributo per il recupero di sottotetti a fini abitativi</t>
  </si>
  <si>
    <t>Maggiorazione sul contributo per il recupero dei sottotetti a fini abitativi</t>
  </si>
  <si>
    <t>Riduzione per l'applicazione del piano casa</t>
  </si>
  <si>
    <t>Maggiorazione per consumo suolo e riqualificazione del suolo degradato</t>
  </si>
  <si>
    <t>Contributo già corrisposto</t>
  </si>
  <si>
    <t>Contributo sul costo di costruzione per differenza tra progetto e stato di fatto</t>
  </si>
  <si>
    <t>Contributo dovuto</t>
  </si>
  <si>
    <t>Altri costi</t>
  </si>
  <si>
    <t>Oblazione per interventi eseguiti in sanatoria</t>
  </si>
  <si>
    <t>Monetizzazione aree standards</t>
  </si>
  <si>
    <t>Monetizzazione parcheggi</t>
  </si>
  <si>
    <t>Contributo di costruzione comprensivo di altri costi</t>
  </si>
  <si>
    <t>Elementi per il calcolo del contributo sul costo di costruzione</t>
  </si>
  <si>
    <t>Totale degli incrementi</t>
  </si>
  <si>
    <t>Classe dell'edificio</t>
  </si>
  <si>
    <t>Maggiorazione del costo base di costruzione</t>
  </si>
  <si>
    <t>Superficie complessiva per intervento di nuova costruzione</t>
  </si>
  <si>
    <t>Superficie complessiva per intervento di ristrutturazione o ampliamento</t>
  </si>
  <si>
    <t>Superficie complessiva per intervento di recupero dei sottotetti</t>
  </si>
  <si>
    <t>Recupero abitativo dei sottotetti: parametri di calcolo della superficie da adibire a  parcheggio</t>
  </si>
  <si>
    <t>Volume dei sottotetti</t>
  </si>
  <si>
    <t>Numero di unità immobiliari</t>
  </si>
  <si>
    <t>Superficie da adibire a  parcheggio</t>
  </si>
  <si>
    <t>Calcolo degli importi dovuti a titolo di oneri di urbanizzazione nel caso di interventi di nuova edificazione e/o ristrutturazione</t>
  </si>
  <si>
    <t>Nuova edificazione</t>
  </si>
  <si>
    <t>primaria</t>
  </si>
  <si>
    <t>secondaria</t>
  </si>
  <si>
    <t>smaltimento rifiuti</t>
  </si>
  <si>
    <t>Oneri dovuti nel caso di nuova edificazione e/o ristrutturazione</t>
  </si>
  <si>
    <t>Riduzione per risparmio energetico</t>
  </si>
  <si>
    <t>Maggiorazione per il recupero dei sottotetti a fini abitativi</t>
  </si>
  <si>
    <t>Oneri di urbanizzazione nel caso di interventi di nuova edificazione e/o ristrutturazione</t>
  </si>
  <si>
    <t>Calcolo degli importi dovuti a titolo di oneri di urbanizzazione nel caso di interventi di cambio destinazione d'uso</t>
  </si>
  <si>
    <t>Destinazione iniziale</t>
  </si>
  <si>
    <t>Destinazione finale</t>
  </si>
  <si>
    <t>Totale oneri riferiti alla destinazione iniziale</t>
  </si>
  <si>
    <t>Totale oneri riferiti alla destinazione finale</t>
  </si>
  <si>
    <t>Oneri di urbanizzazione primaria nel caso di interventi di cambio destinazione d'uso</t>
  </si>
  <si>
    <t>Oneri di urbanizzazione secondaria nel caso di interventi di cambio destinazione d'uso</t>
  </si>
  <si>
    <t>Smaltimento rifiuti nel caso di interventi di cambio destinazione d'uso</t>
  </si>
  <si>
    <t>Oneri di urbanizzazione nel caso di interventi di cambio destinazione d'uso</t>
  </si>
  <si>
    <t>Calcolo degli importi dovuti a titolo di contributo sul costo di costruzione</t>
  </si>
  <si>
    <t>Residenziale</t>
  </si>
  <si>
    <r>
      <rPr>
        <sz val="10"/>
        <color indexed="10"/>
        <rFont val="Symbol"/>
        <charset val="2"/>
      </rPr>
      <t>¦</t>
    </r>
    <r>
      <rPr>
        <sz val="9"/>
        <rFont val="Arial"/>
        <charset val="134"/>
      </rPr>
      <t xml:space="preserve"> x</t>
    </r>
  </si>
  <si>
    <t>=</t>
  </si>
  <si>
    <t>C.M.x</t>
  </si>
  <si>
    <t>Commercio/Terziario</t>
  </si>
  <si>
    <t>Costo di costruzione già corrisposto</t>
  </si>
  <si>
    <t>Contributo sul costo di costruzione per progetto</t>
  </si>
  <si>
    <t>Contributo sul costo di costruzione per stato di fatto</t>
  </si>
  <si>
    <t>Sanzione pecuniaria per interventi in sanatoria</t>
  </si>
  <si>
    <t>Maggiorazione sugli oneri di urbanizzazione per Fondo Aree Verdi</t>
  </si>
  <si>
    <t>Maggiorazione sul costo di costruzione per Fondo Aree Verdi</t>
  </si>
  <si>
    <t>Monetizzazione aree per dotazioni territoriali servizi e parcheggi</t>
  </si>
  <si>
    <t>Descrizione dell'intervento</t>
  </si>
  <si>
    <t>L'intervento ricade in area normativa</t>
  </si>
  <si>
    <t>?</t>
  </si>
  <si>
    <t>L'intervento è in sanatoria</t>
  </si>
  <si>
    <t>No</t>
  </si>
  <si>
    <t>L'intervento implica il pagamento di una sanzione pecuniaria per interventi in sanatoria per un importo pari a</t>
  </si>
  <si>
    <t>L'intervento rientra nell'ambito dell'edilizia convenzionata</t>
  </si>
  <si>
    <t>L'intervento fruisce della riduzione prevista dal "piano casa"</t>
  </si>
  <si>
    <t>L'intervento fruisce della riduzione per intervento di sostituzione</t>
  </si>
  <si>
    <t>L'intervento fruisce della riduzione per interventi di densificazione</t>
  </si>
  <si>
    <t>L'intervento rientra nelle disposizioni per la riduzione del consumo del suolo e la riqualificazione del suolo degradato</t>
  </si>
  <si>
    <t>L'intervento fruisce della riduzione tariffaria per risparmio energetico</t>
  </si>
  <si>
    <t>L'intervento fruisce della riduzione per risparmio energetico per una percentuale pari al</t>
  </si>
  <si>
    <t>L'intervento implica oneri di urbanizzazione primaria</t>
  </si>
  <si>
    <t>Sì</t>
  </si>
  <si>
    <t>L'intervento implica oneri di urbanizzazione secondaria</t>
  </si>
  <si>
    <t>Sono già stati corrisposti oneri di urbanizzazione primaria per un importo pari a</t>
  </si>
  <si>
    <t>Sono già stati corrisposti oneri di urbanizzazione secondaria per un importo pari a</t>
  </si>
  <si>
    <t>Sono già stati corrisposti oneri di smaltimento rifiuti per un importo pari a</t>
  </si>
  <si>
    <t>Sono già state realizzate opere di urbanizzazione primaria per un importo pari a</t>
  </si>
  <si>
    <t>Sono già state realizzate opere di urbanizzazione secondaria per un importo pari a</t>
  </si>
  <si>
    <t>Parametri per il calcolo nel caso di nuova edificazione</t>
  </si>
  <si>
    <t>Destinazione d'uso</t>
  </si>
  <si>
    <t>Consistenza</t>
  </si>
  <si>
    <t>Parametri per il calcolo nel caso di intervento di recupero dei sottotetti ai fini abitativi</t>
  </si>
  <si>
    <t>Parametri per il calcolo della maggiorazione prevista nel caso in cui l'intervento sottragga superficie agricola nello stato di fatto</t>
  </si>
  <si>
    <t>Superficie lotto</t>
  </si>
  <si>
    <t>Superficie agricola sottratta</t>
  </si>
  <si>
    <t>Parametri per il calcolo nel caso di ristrutturazione edilizia</t>
  </si>
  <si>
    <t>Consistenza reale</t>
  </si>
  <si>
    <t>Consistenza virtuale</t>
  </si>
  <si>
    <t>Computo metrico</t>
  </si>
  <si>
    <t>Consistenza finale</t>
  </si>
  <si>
    <t>Parametri per il calcolo nel caso di cambio di destinazione d'uso</t>
  </si>
  <si>
    <t>Consistenza inziale</t>
  </si>
  <si>
    <t xml:space="preserve">Consistenza finale </t>
  </si>
  <si>
    <t>Parametri per il calcolo della monetizzazione  delle aree a standards</t>
  </si>
  <si>
    <t>L'intervento ricade nella zona</t>
  </si>
  <si>
    <t xml:space="preserve">Superficie da monetizzare </t>
  </si>
  <si>
    <t>Parametri per il calcolo della monetizzazione  per dotazioni territoriali servizi e parcheggi</t>
  </si>
  <si>
    <t>Calcolo della superficie complessiva per la determinazione del costo di costruzione dell'edifiico</t>
  </si>
  <si>
    <t>Dati generali e di riepilogo</t>
  </si>
  <si>
    <t>Numero complessivo di unità immobiliari</t>
  </si>
  <si>
    <r>
      <rPr>
        <i/>
        <sz val="10"/>
        <rFont val="Arial"/>
        <charset val="134"/>
      </rPr>
      <t xml:space="preserve">S.u.a. </t>
    </r>
    <r>
      <rPr>
        <b/>
        <i/>
        <sz val="10"/>
        <rFont val="Arial"/>
        <charset val="134"/>
      </rPr>
      <t>&lt;= 95</t>
    </r>
  </si>
  <si>
    <r>
      <rPr>
        <i/>
        <sz val="10"/>
        <rFont val="Arial"/>
        <charset val="134"/>
      </rPr>
      <t xml:space="preserve">S.u.a. </t>
    </r>
    <r>
      <rPr>
        <b/>
        <i/>
        <sz val="10"/>
        <rFont val="Arial"/>
        <charset val="134"/>
      </rPr>
      <t>&gt; 95 &lt;=110</t>
    </r>
  </si>
  <si>
    <r>
      <rPr>
        <i/>
        <sz val="10"/>
        <rFont val="Arial"/>
        <charset val="134"/>
      </rPr>
      <t xml:space="preserve">S.u.a. </t>
    </r>
    <r>
      <rPr>
        <b/>
        <i/>
        <sz val="10"/>
        <rFont val="Arial"/>
        <charset val="134"/>
      </rPr>
      <t>&gt;110 &lt;=130</t>
    </r>
  </si>
  <si>
    <r>
      <rPr>
        <i/>
        <sz val="10"/>
        <rFont val="Arial"/>
        <charset val="134"/>
      </rPr>
      <t xml:space="preserve">S.u.a. </t>
    </r>
    <r>
      <rPr>
        <b/>
        <i/>
        <sz val="10"/>
        <rFont val="Arial"/>
        <charset val="134"/>
      </rPr>
      <t>&gt;130 &lt;=160</t>
    </r>
  </si>
  <si>
    <r>
      <rPr>
        <i/>
        <sz val="10"/>
        <rFont val="Arial"/>
        <charset val="134"/>
      </rPr>
      <t xml:space="preserve">S.u.a. </t>
    </r>
    <r>
      <rPr>
        <b/>
        <i/>
        <sz val="10"/>
        <rFont val="Arial"/>
        <charset val="134"/>
      </rPr>
      <t>&gt;160</t>
    </r>
  </si>
  <si>
    <r>
      <rPr>
        <i/>
        <sz val="10"/>
        <rFont val="Arial"/>
        <charset val="134"/>
      </rPr>
      <t xml:space="preserve">S.n.r. </t>
    </r>
    <r>
      <rPr>
        <b/>
        <i/>
        <sz val="10"/>
        <rFont val="Arial"/>
        <charset val="134"/>
      </rPr>
      <t>(I)</t>
    </r>
    <r>
      <rPr>
        <i/>
        <sz val="10"/>
        <rFont val="Arial"/>
        <charset val="134"/>
      </rPr>
      <t>: cantine, soffitte, lavatoi, locali termici e simili</t>
    </r>
  </si>
  <si>
    <r>
      <rPr>
        <i/>
        <sz val="10"/>
        <rFont val="Arial"/>
        <charset val="134"/>
      </rPr>
      <t xml:space="preserve">S.n.r. </t>
    </r>
    <r>
      <rPr>
        <b/>
        <i/>
        <sz val="10"/>
        <rFont val="Arial"/>
        <charset val="134"/>
      </rPr>
      <t>(II)</t>
    </r>
    <r>
      <rPr>
        <i/>
        <sz val="10"/>
        <rFont val="Arial"/>
        <charset val="134"/>
      </rPr>
      <t>: androni e porticati liberi</t>
    </r>
  </si>
  <si>
    <r>
      <rPr>
        <i/>
        <sz val="10"/>
        <rFont val="Arial"/>
        <charset val="134"/>
      </rPr>
      <t xml:space="preserve">S.n.r. </t>
    </r>
    <r>
      <rPr>
        <b/>
        <i/>
        <sz val="10"/>
        <rFont val="Arial"/>
        <charset val="134"/>
      </rPr>
      <t>(III)</t>
    </r>
    <r>
      <rPr>
        <i/>
        <sz val="10"/>
        <rFont val="Arial"/>
        <charset val="134"/>
      </rPr>
      <t>: logge e balconi</t>
    </r>
  </si>
  <si>
    <t>Parti comuni</t>
  </si>
  <si>
    <t>Descrizione</t>
  </si>
  <si>
    <t>S.n.r. (I)</t>
  </si>
  <si>
    <t>S.n.r. (II)</t>
  </si>
  <si>
    <t>S.n.r. (III)</t>
  </si>
  <si>
    <t>Unità immobiliare n.</t>
  </si>
  <si>
    <t>Piano</t>
  </si>
  <si>
    <t>S.u.a.</t>
  </si>
  <si>
    <t>Destinazione singoli vani</t>
  </si>
  <si>
    <t>I</t>
  </si>
  <si>
    <t>II</t>
  </si>
  <si>
    <t>III</t>
  </si>
  <si>
    <t>IV</t>
  </si>
  <si>
    <t>V</t>
  </si>
  <si>
    <t>S.n.r. - cantine, soffitte, lavatoi, locali termici etc.</t>
  </si>
  <si>
    <t>S.n.r. - androni e porticati liberi</t>
  </si>
  <si>
    <t>S.n.r. - logge e balconi</t>
  </si>
  <si>
    <t>Totale alloggi</t>
  </si>
  <si>
    <t>Totale S.u.a.</t>
  </si>
  <si>
    <t>Totale S.n.r.</t>
  </si>
  <si>
    <t>Tabella 1</t>
  </si>
  <si>
    <t>riservata</t>
  </si>
  <si>
    <t>Classi sup.</t>
  </si>
  <si>
    <t>Alloggi n.</t>
  </si>
  <si>
    <t>all'ufficio</t>
  </si>
  <si>
    <t>Sua / Su</t>
  </si>
  <si>
    <t>i</t>
  </si>
  <si>
    <t>Increm.</t>
  </si>
  <si>
    <t>&lt;= 95</t>
  </si>
  <si>
    <t>0</t>
  </si>
  <si>
    <t>&gt; 95 &lt;=110</t>
  </si>
  <si>
    <t>&gt;110 &lt;=130</t>
  </si>
  <si>
    <t>&gt;130 &lt;=160</t>
  </si>
  <si>
    <t>&gt;160</t>
  </si>
  <si>
    <t>S.u. =</t>
  </si>
  <si>
    <t>i1=</t>
  </si>
  <si>
    <t>Tabella 2-3</t>
  </si>
  <si>
    <t>Accessori</t>
  </si>
  <si>
    <t>S.n.r.</t>
  </si>
  <si>
    <t>Snr / Su</t>
  </si>
  <si>
    <t>X</t>
  </si>
  <si>
    <t>cantine, soffitte, lavatoi, locali termici e simili</t>
  </si>
  <si>
    <t>&lt;= 50</t>
  </si>
  <si>
    <t>-</t>
  </si>
  <si>
    <t>&gt;50&lt;= 75</t>
  </si>
  <si>
    <t>autorimesse</t>
  </si>
  <si>
    <t>&gt;75&lt;=100</t>
  </si>
  <si>
    <t>androni e porticati liberi</t>
  </si>
  <si>
    <t>&gt;100</t>
  </si>
  <si>
    <t>logge e balconi</t>
  </si>
  <si>
    <t>i2=</t>
  </si>
  <si>
    <t>S.n.r.  =</t>
  </si>
  <si>
    <t>%</t>
  </si>
  <si>
    <t>Snr/Su x 100</t>
  </si>
  <si>
    <t>Tabella 4 e relative caratteristiche</t>
  </si>
  <si>
    <t>n. caratt.</t>
  </si>
  <si>
    <t>nessuna caratteristica</t>
  </si>
  <si>
    <t>più di un ascensore per scala</t>
  </si>
  <si>
    <t>scala di servizio non prescritta</t>
  </si>
  <si>
    <t>maggiore dell'altezza minima regolamentare</t>
  </si>
  <si>
    <t>piscina</t>
  </si>
  <si>
    <t>alloggio custode per meno di 15 unità</t>
  </si>
  <si>
    <t>i3=</t>
  </si>
  <si>
    <t>Classe</t>
  </si>
  <si>
    <t>i1+i2+i3= i=</t>
  </si>
  <si>
    <t>Costo di costruzione BASE per interventi di NUONA EDIFICAZIONE</t>
  </si>
  <si>
    <t>Costo di costruzione MAGGIORATO per interventi di NUONA EDIFICAZIONE</t>
  </si>
  <si>
    <t>Costo di costruzione BASE per interventi di RISTRUTTURAZIONE</t>
  </si>
  <si>
    <t>Costo di costruzione MAGGIORATO per interventi di RISTRUTTURAZIONE</t>
  </si>
  <si>
    <t>Costo di costruzione BASE per interventi con destinazione COMMERCIO/TERZIARIO</t>
  </si>
  <si>
    <t>Costo di costruzione MAGGIORATO per interventi con destinazione COMMERCIO/TERZIARIO</t>
  </si>
  <si>
    <t>Ristrutturazione/Ampliamento</t>
  </si>
  <si>
    <t>Sottotetti</t>
  </si>
  <si>
    <t>parte RESIDENZIALE</t>
  </si>
  <si>
    <t>S.u. = Sup. utile abitabile</t>
  </si>
  <si>
    <t>S.n.r. = Sup. non residenziale</t>
  </si>
  <si>
    <t>60 % di S.n.r. = Sup. ragg.</t>
  </si>
  <si>
    <t>S.c. = Sup. complessiva</t>
  </si>
  <si>
    <t>Computo estimativo</t>
  </si>
  <si>
    <t>parte COMMERCIO/TERZIARIO</t>
  </si>
  <si>
    <t>S.n. = Sup. netta</t>
  </si>
  <si>
    <t>S.a. = Sup. accessoria</t>
  </si>
  <si>
    <t>60 % di S.a. = Sup. ragg.</t>
  </si>
  <si>
    <t>S.t.= Sup. totale</t>
  </si>
  <si>
    <t>RESIDENZAILE</t>
  </si>
  <si>
    <t>S.c. (Superficie complessiva)</t>
  </si>
  <si>
    <t xml:space="preserve"> (solo se S.t. &lt;= S.u. x 25 %)</t>
  </si>
  <si>
    <t>COMMERCIO/TERZIARIO</t>
  </si>
  <si>
    <t>S.t. (Superficie totale)</t>
  </si>
  <si>
    <t>RESIDENZIALE BASE (al mq)</t>
  </si>
  <si>
    <t>RESIDENZIALE MAGGIORATO (al mq)</t>
  </si>
  <si>
    <t>EDIFICIO parte RESIDENZIALE</t>
  </si>
  <si>
    <t>COMMERCIO/TERZIARIO BASE (al mq)</t>
  </si>
  <si>
    <t>COMMERCIO/TERZIARIO MAGGIORATO (al mq)</t>
  </si>
  <si>
    <t>EDIFICIO parte COMMERCIO/TERZIARIO</t>
  </si>
  <si>
    <t>CONTRIBUTO:</t>
  </si>
  <si>
    <t>Aliquota</t>
  </si>
  <si>
    <t>RESIDENZIALE su base tabella ministero</t>
  </si>
  <si>
    <t>TERZIARIO su base tabella ministero</t>
  </si>
  <si>
    <t>RESIDENZIALE da computo estimativo</t>
  </si>
  <si>
    <t>TERZIARIO da computo estimativo</t>
  </si>
  <si>
    <t>SUL COSTO DI COSTRUZIONE TOTALE</t>
  </si>
  <si>
    <t>CONTRIBUTO GIA' CORRISPOSTO:</t>
  </si>
  <si>
    <t>per rinnovi di Concessione o conguagli</t>
  </si>
  <si>
    <t>Maggiorazione</t>
  </si>
  <si>
    <t>per varianti od ampliamenti comparativi</t>
  </si>
  <si>
    <t>CONTRIBUTO SUL COSTO DI COSTRUZIONE DOVUTO:</t>
  </si>
  <si>
    <t>Contributo sul costo di costruzione per lo stato di fatto (D. M. 10/5/1977)</t>
  </si>
  <si>
    <t>Tipo intervento:</t>
  </si>
  <si>
    <t>Modalità calcolo:</t>
  </si>
  <si>
    <t>Calcolo costo costruzione</t>
  </si>
  <si>
    <t>PERCENTUALI DEL COSTO</t>
  </si>
  <si>
    <t>meno di 50.000 abit</t>
  </si>
  <si>
    <t>CLASSE EDIFICIO</t>
  </si>
  <si>
    <t>Tabella 2</t>
  </si>
  <si>
    <t>Tabella 3</t>
  </si>
  <si>
    <t>S.n.r. mq</t>
  </si>
  <si>
    <t>Cantine, soffitte, lavatoi, locali termici e simili</t>
  </si>
  <si>
    <t>I-II-III</t>
  </si>
  <si>
    <t>IV-V-VI-VII-VIII</t>
  </si>
  <si>
    <t>IX-X-XI</t>
  </si>
  <si>
    <t>commerciali</t>
  </si>
  <si>
    <t>turistiche</t>
  </si>
  <si>
    <t>direzionali</t>
  </si>
  <si>
    <t>Tabella 4</t>
  </si>
  <si>
    <t>caratteristiche di tabella 4</t>
  </si>
  <si>
    <t>O</t>
  </si>
  <si>
    <t>altezze interne maggiori di 270</t>
  </si>
  <si>
    <t>S.c. = Sup. Complessiva</t>
  </si>
  <si>
    <t>M.% maggiorazione</t>
  </si>
  <si>
    <t>S.c. + S.t. = mq</t>
  </si>
  <si>
    <t>Superficie di calcolo</t>
  </si>
  <si>
    <t>.</t>
  </si>
  <si>
    <t>RESIDENZA</t>
  </si>
  <si>
    <t>R=</t>
  </si>
  <si>
    <t>TERZIARIO</t>
  </si>
  <si>
    <t>T=</t>
  </si>
  <si>
    <t>CONTRIBUTO SUL COSTO DI COSTRUZIONE (al mq):</t>
  </si>
  <si>
    <t>B) RESIDENZIALE</t>
  </si>
  <si>
    <t>C) MAGGIORATO = B x (1 + M / 100)</t>
  </si>
  <si>
    <t>D) EDIFICIO = (Sc + St se inf.al 25 %) x C</t>
  </si>
  <si>
    <t>su base tabella ministero</t>
  </si>
  <si>
    <t>D) x aliquota</t>
  </si>
  <si>
    <t xml:space="preserve">                                                                                                                                                                                                                                                                                                            </t>
  </si>
  <si>
    <t>per residenza da computo estimativo</t>
  </si>
  <si>
    <t>R) x aliquota</t>
  </si>
  <si>
    <t>per terziario da computo estimativo</t>
  </si>
  <si>
    <t>T) x aliquota</t>
  </si>
  <si>
    <t>Contributo sul costo di costruzione per lo stato di progetto (D. M. 10/5/1977)</t>
  </si>
  <si>
    <t>Recupero sottotetti: calcolo superficie da adibire a parcheggio</t>
  </si>
  <si>
    <t>U.I.</t>
  </si>
  <si>
    <t>Volume singola unità immobiliare</t>
  </si>
  <si>
    <t>Superficie parcheggio</t>
  </si>
  <si>
    <t>Rateizzazione del contributo di costruzione</t>
  </si>
  <si>
    <t>Dati generali</t>
  </si>
  <si>
    <t>Data invio istanza</t>
  </si>
  <si>
    <t>Interesse legale in vigore</t>
  </si>
  <si>
    <t>Contributo da versare entro 30 giorni dalla presentazione della domanda</t>
  </si>
  <si>
    <t>I rata</t>
  </si>
  <si>
    <t>Costo costruzione</t>
  </si>
  <si>
    <t>Oneri urbanizzazione primaria</t>
  </si>
  <si>
    <t>Oneri urbanizzazione secondaria</t>
  </si>
  <si>
    <t>Entro il</t>
  </si>
  <si>
    <t>Contributo da versare entro l'ultimazione dei lavori</t>
  </si>
  <si>
    <t>II rata</t>
  </si>
  <si>
    <t>III rata</t>
  </si>
  <si>
    <t>IV rata</t>
  </si>
  <si>
    <t>Parametri per il calcolo della Fidejussione</t>
  </si>
  <si>
    <t>Importo complessivo delle rate comprensive di interessi</t>
  </si>
  <si>
    <t>Importo per eventuali sanzioni</t>
  </si>
  <si>
    <t>Totale fidejussione</t>
  </si>
  <si>
    <t>Scadenza fidejussione</t>
  </si>
  <si>
    <t>Risparmio energetico</t>
  </si>
  <si>
    <t>Area normativa</t>
  </si>
  <si>
    <t>Urb. primaria</t>
  </si>
  <si>
    <t>Urb. secondaria</t>
  </si>
  <si>
    <t>Zone territoriali omogenee di riferimento per il calcolo degli oneri di urbanizzazione</t>
  </si>
  <si>
    <t>Zona</t>
  </si>
  <si>
    <t>Denominazione</t>
  </si>
  <si>
    <t>Inserire zona urbanistica da PGT</t>
  </si>
  <si>
    <t>A</t>
  </si>
  <si>
    <t>Zona A</t>
  </si>
  <si>
    <t>B</t>
  </si>
  <si>
    <t>Zona B</t>
  </si>
  <si>
    <t>C</t>
  </si>
  <si>
    <t>Zona C</t>
  </si>
  <si>
    <t>D</t>
  </si>
  <si>
    <t>Zona D</t>
  </si>
  <si>
    <t>E</t>
  </si>
  <si>
    <t>Zona E</t>
  </si>
  <si>
    <t>Destinazioni d'uso previste per il calcolo degli oneri di urbanizzazione</t>
  </si>
  <si>
    <t>Commerciale direzionale</t>
  </si>
  <si>
    <t xml:space="preserve">Industria </t>
  </si>
  <si>
    <t xml:space="preserve">Industriale alberghiera </t>
  </si>
  <si>
    <t>Parcheggi, silos (posto auto)</t>
  </si>
  <si>
    <t>Attrezzature culturali e sanitarie</t>
  </si>
  <si>
    <t>Attrezzature sportive</t>
  </si>
  <si>
    <t>Attrezzature spettacolo</t>
  </si>
  <si>
    <t>Artigianato</t>
  </si>
  <si>
    <t>Campeggi (€/utente)</t>
  </si>
  <si>
    <t>Destinazione ulteriore 3</t>
  </si>
  <si>
    <t>Destinazione ulteriore 4</t>
  </si>
  <si>
    <t>Destinazione ulteriore 5</t>
  </si>
  <si>
    <t>Zone di riferimento per il calcolo della monetizzazione delle aree standards</t>
  </si>
  <si>
    <t>Importo</t>
  </si>
  <si>
    <t>Opzioni</t>
  </si>
  <si>
    <t>Selezionare la zona</t>
  </si>
  <si>
    <t>Zona 1</t>
  </si>
  <si>
    <t>x</t>
  </si>
  <si>
    <t>Zona 2</t>
  </si>
  <si>
    <t>Zona 3</t>
  </si>
  <si>
    <t>Zona 4</t>
  </si>
  <si>
    <t>Zone di riferimento per il calcolo della monetizzazione parcheggi</t>
  </si>
  <si>
    <t>Contributo base al mq sul costo di costruzione</t>
  </si>
  <si>
    <t>nuova edificazione residenziale</t>
  </si>
  <si>
    <t>ristrutturazione residenziale</t>
  </si>
  <si>
    <t>destinazione commercio/terziario</t>
  </si>
  <si>
    <t>Aliquota per computo estimativo del terziaio</t>
  </si>
  <si>
    <t>Nuova costruz.</t>
  </si>
  <si>
    <t>Ristrutt. e ampliam.</t>
  </si>
  <si>
    <t>Maggiorazione in caso di  recupero dei sottotetti ai fini abitativi</t>
  </si>
  <si>
    <t>Oneri urbanizz.</t>
  </si>
  <si>
    <t>Costo costruz.</t>
  </si>
  <si>
    <t>Riduzione per "Piano casa"</t>
  </si>
  <si>
    <t>Riduzione per interventi di sostituzione</t>
  </si>
  <si>
    <t>Oneri urbanizzazione</t>
  </si>
  <si>
    <t>Maggiorazione per Fondo Aree verdi</t>
  </si>
  <si>
    <t>Riduzione per interventi di densificazione</t>
  </si>
  <si>
    <t>Maggiorazione per consumo suolo e riqualificazione suolo degradato</t>
  </si>
  <si>
    <t>Tipologia</t>
  </si>
  <si>
    <t>Comune con meno di 50.000 abitanti</t>
  </si>
  <si>
    <t>Contributo sul costo di costruzione - classi di edifici e relative maggiorazioni per comuni con meno di 50.000 abitanti</t>
  </si>
  <si>
    <t>Minimo</t>
  </si>
  <si>
    <t>Massimo (compreso)</t>
  </si>
  <si>
    <t>VI</t>
  </si>
  <si>
    <t>VII</t>
  </si>
  <si>
    <t>VIII</t>
  </si>
  <si>
    <t>IX</t>
  </si>
  <si>
    <t>XI</t>
  </si>
  <si>
    <t>Contributo sul costo di costruzione - classi di edifici e relative maggiorazioni per comuni con più di 50.000 abitanti</t>
  </si>
  <si>
    <t>Oneri urbanizzazione primaria totale</t>
  </si>
  <si>
    <t>Oneri urbanizzazione secondaria totale</t>
  </si>
  <si>
    <t>Oneri urbanizzazione primaria già corrisposti</t>
  </si>
  <si>
    <t>Oneri urbanizzazione secondaria già corrisposti</t>
  </si>
  <si>
    <t>Smaltimento rifiuti già corrisposto</t>
  </si>
  <si>
    <t>Costo costruzione già corrisposto</t>
  </si>
  <si>
    <t>Opere di urb primaria già realizzate</t>
  </si>
  <si>
    <t>Opere di urb secondaria già realizzate</t>
  </si>
  <si>
    <t>Oneri urbanizzazione primaria a scomputo</t>
  </si>
  <si>
    <t>Oneri urbanizzazione secondaria a scomputo</t>
  </si>
  <si>
    <t>Oneri urbanizzazione e smaltimento rifiuti</t>
  </si>
  <si>
    <t>Sanzione</t>
  </si>
  <si>
    <t>Oblazione</t>
  </si>
  <si>
    <t>Maggiorazione urbanizzazione primaria sottotetti</t>
  </si>
  <si>
    <t>Maggiorazione urbanizzazione sec sottotetti</t>
  </si>
  <si>
    <t>Maggiorazione costo costruzione sottotetti</t>
  </si>
  <si>
    <t>Maggiorazione per fondo aree verdi</t>
  </si>
  <si>
    <t>Maggiorazione per consumo suolo</t>
  </si>
  <si>
    <t>Contributo costruzione</t>
  </si>
  <si>
    <t>Contributo costruzione comprensivo altri costi</t>
  </si>
</sst>
</file>

<file path=xl/styles.xml><?xml version="1.0" encoding="utf-8"?>
<styleSheet xmlns="http://schemas.openxmlformats.org/spreadsheetml/2006/main" xmlns:mc="http://schemas.openxmlformats.org/markup-compatibility/2006" xmlns:xr9="http://schemas.microsoft.com/office/spreadsheetml/2016/revision9" mc:Ignorable="xr9">
  <numFmts count="25">
    <numFmt numFmtId="41" formatCode="_-* #,##0_-;\-* #,##0_-;_-* &quot;-&quot;_-;_-@_-"/>
    <numFmt numFmtId="43" formatCode="_-* #,##0.00_-;\-* #,##0.00_-;_-* &quot;-&quot;??_-;_-@_-"/>
    <numFmt numFmtId="176" formatCode="_-&quot;€&quot;* #,##0.00_-;\-&quot;€&quot;* #,##0.00_-;_-&quot;€&quot;* \-??_-;_-@_-"/>
    <numFmt numFmtId="177" formatCode="0.0\ &quot;%&quot;"/>
    <numFmt numFmtId="178" formatCode="_-&quot;€&quot;* #,##0_-;\-&quot;€&quot;* #,##0_-;_-&quot;€&quot;* \-_-;_-@_-"/>
    <numFmt numFmtId="179" formatCode="#,##0\ &quot;m³&quot;"/>
    <numFmt numFmtId="180" formatCode="#,##0\ &quot;m²&quot;"/>
    <numFmt numFmtId="181" formatCode="0.0"/>
    <numFmt numFmtId="182" formatCode="&quot;€&quot;\ #,##0.00"/>
    <numFmt numFmtId="183" formatCode="0.0%"/>
    <numFmt numFmtId="184" formatCode="#,##0.0\ &quot;m³&quot;"/>
    <numFmt numFmtId="185" formatCode="0.000"/>
    <numFmt numFmtId="186" formatCode="0\ \ %"/>
    <numFmt numFmtId="187" formatCode="&quot;€&quot;\ #,##0.00;[Red]\-&quot;€&quot;\ #,##0.00"/>
    <numFmt numFmtId="188" formatCode="&quot;€&quot;\ #,##0.00;\-&quot;€&quot;\ #,##0.00"/>
    <numFmt numFmtId="189" formatCode="#,##0.00\ &quot;m²&quot;"/>
    <numFmt numFmtId="190" formatCode="#,##0.00\ &quot;m³&quot;"/>
    <numFmt numFmtId="191" formatCode="&quot;€&quot;\ #,##0.00;[Red]&quot;€&quot;\ #,##0.00"/>
    <numFmt numFmtId="192" formatCode="0.00\ &quot;m²&quot;"/>
    <numFmt numFmtId="193" formatCode="0.00\ &quot;m³&quot;"/>
    <numFmt numFmtId="194" formatCode="#,##0.00\ &quot;€/m³&quot;;\-#,##0.00\ &quot;€/m³&quot;"/>
    <numFmt numFmtId="195" formatCode="[$€-2]\ #,##0.00;\-[$€-2]\ #,##0.00"/>
    <numFmt numFmtId="196" formatCode="#,##0.00\ &quot;€/m²&quot;;\-#,##0.00\ &quot;€/m²&quot;"/>
    <numFmt numFmtId="197" formatCode="[$€-2]\ #,##0.00;[Red]\-[$€-2]\ #,##0.00"/>
    <numFmt numFmtId="198" formatCode="[$€-2]\ #,##0.00"/>
  </numFmts>
  <fonts count="96">
    <font>
      <sz val="10"/>
      <name val="Arial"/>
      <charset val="134"/>
    </font>
    <font>
      <sz val="10"/>
      <name val="Arial"/>
      <charset val="134"/>
    </font>
    <font>
      <sz val="10"/>
      <color theme="0" tint="-0.349986266670736"/>
      <name val="Arial"/>
      <charset val="134"/>
    </font>
    <font>
      <b/>
      <sz val="10"/>
      <color theme="0" tint="-0.499984740745262"/>
      <name val="Arial"/>
      <charset val="134"/>
    </font>
    <font>
      <b/>
      <sz val="10"/>
      <name val="Arial"/>
      <charset val="134"/>
    </font>
    <font>
      <b/>
      <sz val="8"/>
      <name val="Arial"/>
      <charset val="134"/>
    </font>
    <font>
      <sz val="8"/>
      <name val="Arial"/>
      <charset val="134"/>
    </font>
    <font>
      <sz val="10"/>
      <color rgb="FF808080"/>
      <name val="Arial"/>
      <charset val="134"/>
    </font>
    <font>
      <sz val="10"/>
      <name val="Tahoma"/>
      <charset val="134"/>
    </font>
    <font>
      <sz val="10"/>
      <color theme="0"/>
      <name val="Arial"/>
      <charset val="134"/>
    </font>
    <font>
      <b/>
      <sz val="12"/>
      <color theme="3" tint="0.399975585192419"/>
      <name val="Arial"/>
      <charset val="134"/>
    </font>
    <font>
      <b/>
      <sz val="11"/>
      <color theme="3" tint="0.399975585192419"/>
      <name val="Arial"/>
      <charset val="134"/>
    </font>
    <font>
      <b/>
      <sz val="10"/>
      <color theme="3" tint="0.399975585192419"/>
      <name val="Arial"/>
      <charset val="134"/>
    </font>
    <font>
      <b/>
      <sz val="11"/>
      <color rgb="FFFF0000"/>
      <name val="Arial"/>
      <charset val="134"/>
    </font>
    <font>
      <b/>
      <sz val="10"/>
      <color rgb="FFFF0000"/>
      <name val="Arial"/>
      <charset val="134"/>
    </font>
    <font>
      <sz val="10"/>
      <color theme="3" tint="0.399975585192419"/>
      <name val="Arial"/>
      <charset val="134"/>
    </font>
    <font>
      <sz val="10"/>
      <color rgb="FFFF0000"/>
      <name val="Arial"/>
      <charset val="134"/>
    </font>
    <font>
      <b/>
      <sz val="12"/>
      <color rgb="FF538DD5"/>
      <name val="Arial"/>
      <charset val="134"/>
    </font>
    <font>
      <u/>
      <sz val="10"/>
      <name val="Arial"/>
      <charset val="134"/>
    </font>
    <font>
      <b/>
      <sz val="10"/>
      <color rgb="FF538DD5"/>
      <name val="Arial"/>
      <charset val="134"/>
    </font>
    <font>
      <i/>
      <sz val="10"/>
      <name val="Arial"/>
      <charset val="134"/>
    </font>
    <font>
      <b/>
      <i/>
      <sz val="10"/>
      <name val="Arial"/>
      <charset val="134"/>
    </font>
    <font>
      <sz val="10"/>
      <name val="Helv"/>
      <charset val="134"/>
    </font>
    <font>
      <b/>
      <u/>
      <sz val="10"/>
      <color rgb="FF808080"/>
      <name val="Arial"/>
      <charset val="134"/>
    </font>
    <font>
      <b/>
      <u/>
      <sz val="10"/>
      <name val="Arial"/>
      <charset val="134"/>
    </font>
    <font>
      <sz val="10"/>
      <color rgb="FF808080"/>
      <name val="Helv"/>
      <charset val="134"/>
    </font>
    <font>
      <b/>
      <sz val="10"/>
      <name val="Times New Roman"/>
      <charset val="134"/>
    </font>
    <font>
      <b/>
      <i/>
      <sz val="10"/>
      <color rgb="FF538DD5"/>
      <name val="Helv"/>
      <charset val="134"/>
    </font>
    <font>
      <sz val="10"/>
      <name val="Wingdings"/>
      <charset val="2"/>
    </font>
    <font>
      <sz val="12"/>
      <name val="Arial"/>
      <charset val="134"/>
    </font>
    <font>
      <b/>
      <sz val="12"/>
      <name val="Arial"/>
      <charset val="134"/>
    </font>
    <font>
      <sz val="12"/>
      <name val="Helv"/>
      <charset val="134"/>
    </font>
    <font>
      <sz val="10"/>
      <color theme="0" tint="-0.499984740745262"/>
      <name val="Arial"/>
      <charset val="134"/>
    </font>
    <font>
      <b/>
      <sz val="10"/>
      <color rgb="FF808080"/>
      <name val="Arial"/>
      <charset val="134"/>
    </font>
    <font>
      <u/>
      <sz val="10"/>
      <color rgb="FF538DD5"/>
      <name val="Arial"/>
      <charset val="134"/>
    </font>
    <font>
      <sz val="10"/>
      <color rgb="FF538DD5"/>
      <name val="Arial"/>
      <charset val="134"/>
    </font>
    <font>
      <b/>
      <sz val="12"/>
      <color theme="4"/>
      <name val="Arial"/>
      <charset val="134"/>
    </font>
    <font>
      <i/>
      <sz val="10"/>
      <name val="Helv"/>
      <charset val="134"/>
    </font>
    <font>
      <sz val="14"/>
      <name val="Arial Narrow"/>
      <charset val="134"/>
    </font>
    <font>
      <sz val="12"/>
      <name val="Arial Narrow"/>
      <charset val="134"/>
    </font>
    <font>
      <b/>
      <sz val="10"/>
      <name val="Wingdings"/>
      <charset val="2"/>
    </font>
    <font>
      <sz val="10"/>
      <color theme="0"/>
      <name val="Helv"/>
      <charset val="134"/>
    </font>
    <font>
      <sz val="10"/>
      <color theme="1"/>
      <name val="Arial"/>
      <charset val="134"/>
    </font>
    <font>
      <b/>
      <sz val="11"/>
      <color rgb="FF538DD5"/>
      <name val="Arial"/>
      <charset val="134"/>
    </font>
    <font>
      <b/>
      <sz val="10"/>
      <color theme="0"/>
      <name val="Arial"/>
      <charset val="134"/>
    </font>
    <font>
      <sz val="8"/>
      <color theme="0" tint="-0.349986266670736"/>
      <name val="Arial"/>
      <charset val="134"/>
    </font>
    <font>
      <sz val="10"/>
      <name val="Arial Narrow"/>
      <charset val="134"/>
    </font>
    <font>
      <i/>
      <sz val="8"/>
      <name val="Arial"/>
      <charset val="134"/>
    </font>
    <font>
      <i/>
      <sz val="10"/>
      <color theme="0" tint="-0.499984740745262"/>
      <name val="Arial"/>
      <charset val="134"/>
    </font>
    <font>
      <sz val="12"/>
      <color rgb="FF538DD5"/>
      <name val="Arial Narrow"/>
      <charset val="134"/>
    </font>
    <font>
      <sz val="9"/>
      <color rgb="FF538DD5"/>
      <name val="Arial"/>
      <charset val="134"/>
    </font>
    <font>
      <sz val="9"/>
      <name val="Arial"/>
      <charset val="134"/>
    </font>
    <font>
      <sz val="9"/>
      <name val="Wingdings"/>
      <charset val="2"/>
    </font>
    <font>
      <b/>
      <sz val="9"/>
      <name val="Arial"/>
      <charset val="134"/>
    </font>
    <font>
      <sz val="9"/>
      <color theme="0"/>
      <name val="Arial"/>
      <charset val="134"/>
    </font>
    <font>
      <sz val="10"/>
      <color indexed="8"/>
      <name val="Arial"/>
      <charset val="134"/>
    </font>
    <font>
      <sz val="9"/>
      <color indexed="12"/>
      <name val="Arial"/>
      <charset val="134"/>
    </font>
    <font>
      <sz val="10"/>
      <color indexed="12"/>
      <name val="Arial"/>
      <charset val="134"/>
    </font>
    <font>
      <sz val="10"/>
      <color indexed="10"/>
      <name val="Symbol"/>
      <charset val="2"/>
    </font>
    <font>
      <sz val="11"/>
      <color indexed="10"/>
      <name val="Symbol"/>
      <charset val="2"/>
    </font>
    <font>
      <b/>
      <sz val="12"/>
      <color indexed="12"/>
      <name val="Arial"/>
      <charset val="134"/>
    </font>
    <font>
      <sz val="12"/>
      <color theme="0"/>
      <name val="Arial Narrow"/>
      <charset val="134"/>
    </font>
    <font>
      <u/>
      <sz val="9"/>
      <name val="Arial"/>
      <charset val="134"/>
    </font>
    <font>
      <b/>
      <sz val="10"/>
      <color indexed="12"/>
      <name val="Arial"/>
      <charset val="134"/>
    </font>
    <font>
      <sz val="8"/>
      <name val="Arial Narrow"/>
      <charset val="134"/>
    </font>
    <font>
      <sz val="7"/>
      <name val="Arial"/>
      <charset val="134"/>
    </font>
    <font>
      <sz val="8"/>
      <color theme="0" tint="-0.499984740745262"/>
      <name val="Arial"/>
      <charset val="134"/>
    </font>
    <font>
      <sz val="14"/>
      <name val="Wingdings"/>
      <charset val="2"/>
    </font>
    <font>
      <sz val="16"/>
      <name val="Wingdings"/>
      <charset val="2"/>
    </font>
    <font>
      <sz val="12"/>
      <name val="Wingdings"/>
      <charset val="2"/>
    </font>
    <font>
      <u/>
      <sz val="10"/>
      <color theme="10"/>
      <name val="Arial"/>
      <charset val="134"/>
    </font>
    <font>
      <sz val="11"/>
      <color theme="1"/>
      <name val="Calibri"/>
      <charset val="134"/>
      <scheme val="minor"/>
    </font>
    <font>
      <u/>
      <sz val="11"/>
      <color rgb="FF800080"/>
      <name val="Calibri"/>
      <charset val="0"/>
      <scheme val="minor"/>
    </font>
    <font>
      <sz val="11"/>
      <color indexed="10"/>
      <name val="Calibri"/>
      <charset val="134"/>
    </font>
    <font>
      <b/>
      <sz val="18"/>
      <color indexed="56"/>
      <name val="Cambria"/>
      <charset val="134"/>
    </font>
    <font>
      <i/>
      <sz val="11"/>
      <color indexed="23"/>
      <name val="Calibri"/>
      <charset val="134"/>
    </font>
    <font>
      <b/>
      <sz val="15"/>
      <color indexed="56"/>
      <name val="Calibri"/>
      <charset val="134"/>
    </font>
    <font>
      <b/>
      <sz val="13"/>
      <color indexed="56"/>
      <name val="Calibri"/>
      <charset val="134"/>
    </font>
    <font>
      <b/>
      <sz val="11"/>
      <color indexed="56"/>
      <name val="Calibri"/>
      <charset val="134"/>
    </font>
    <font>
      <sz val="11"/>
      <color indexed="62"/>
      <name val="Calibri"/>
      <charset val="134"/>
    </font>
    <font>
      <b/>
      <sz val="11"/>
      <color indexed="63"/>
      <name val="Calibri"/>
      <charset val="134"/>
    </font>
    <font>
      <b/>
      <sz val="11"/>
      <color indexed="52"/>
      <name val="Calibri"/>
      <charset val="134"/>
    </font>
    <font>
      <b/>
      <sz val="11"/>
      <color indexed="9"/>
      <name val="Calibri"/>
      <charset val="134"/>
    </font>
    <font>
      <sz val="11"/>
      <color indexed="52"/>
      <name val="Calibri"/>
      <charset val="134"/>
    </font>
    <font>
      <b/>
      <sz val="11"/>
      <color indexed="8"/>
      <name val="Calibri"/>
      <charset val="134"/>
    </font>
    <font>
      <sz val="11"/>
      <color indexed="17"/>
      <name val="Calibri"/>
      <charset val="134"/>
    </font>
    <font>
      <sz val="11"/>
      <color indexed="20"/>
      <name val="Calibri"/>
      <charset val="134"/>
    </font>
    <font>
      <sz val="11"/>
      <color indexed="60"/>
      <name val="Calibri"/>
      <charset val="134"/>
    </font>
    <font>
      <sz val="11"/>
      <color indexed="9"/>
      <name val="Calibri"/>
      <charset val="134"/>
    </font>
    <font>
      <sz val="11"/>
      <color indexed="8"/>
      <name val="Calibri"/>
      <charset val="134"/>
    </font>
    <font>
      <sz val="8"/>
      <color indexed="23"/>
      <name val="Arial"/>
      <charset val="134"/>
    </font>
    <font>
      <sz val="8"/>
      <name val="Tahoma"/>
      <charset val="134"/>
    </font>
    <font>
      <sz val="9"/>
      <name val="Tahoma"/>
      <charset val="134"/>
    </font>
    <font>
      <b/>
      <sz val="9"/>
      <name val="Tahoma"/>
      <charset val="134"/>
    </font>
    <font>
      <b/>
      <sz val="9"/>
      <name val="Tahoma"/>
      <charset val="1"/>
    </font>
    <font>
      <b/>
      <i/>
      <sz val="9"/>
      <name val="Tahoma"/>
      <charset val="134"/>
    </font>
  </fonts>
  <fills count="31">
    <fill>
      <patternFill patternType="none"/>
    </fill>
    <fill>
      <patternFill patternType="gray125"/>
    </fill>
    <fill>
      <patternFill patternType="solid">
        <fgColor rgb="FFFFFF9B"/>
        <bgColor indexed="64"/>
      </patternFill>
    </fill>
    <fill>
      <patternFill patternType="solid">
        <fgColor theme="0"/>
        <bgColor indexed="64"/>
      </patternFill>
    </fill>
    <fill>
      <patternFill patternType="solid">
        <fgColor indexed="43"/>
        <bgColor indexed="64"/>
      </patternFill>
    </fill>
    <fill>
      <patternFill patternType="solid">
        <fgColor rgb="FFE4E4E4"/>
        <bgColor indexed="64"/>
      </patternFill>
    </fill>
    <fill>
      <patternFill patternType="solid">
        <fgColor rgb="FFD9D9D9"/>
        <bgColor indexed="64"/>
      </patternFill>
    </fill>
    <fill>
      <patternFill patternType="solid">
        <fgColor theme="0" tint="-0.149998474074526"/>
        <bgColor indexed="64"/>
      </patternFill>
    </fill>
    <fill>
      <patternFill patternType="solid">
        <fgColor theme="0" tint="-0.249977111117893"/>
        <bgColor indexed="64"/>
      </patternFill>
    </fill>
    <fill>
      <patternFill patternType="solid">
        <fgColor rgb="FFEAEAEA"/>
        <bgColor indexed="64"/>
      </patternFill>
    </fill>
    <fill>
      <patternFill patternType="solid">
        <fgColor indexed="26"/>
        <bgColor indexed="64"/>
      </patternFill>
    </fill>
    <fill>
      <patternFill patternType="solid">
        <fgColor indexed="47"/>
        <bgColor indexed="64"/>
      </patternFill>
    </fill>
    <fill>
      <patternFill patternType="solid">
        <fgColor indexed="22"/>
        <bgColor indexed="64"/>
      </patternFill>
    </fill>
    <fill>
      <patternFill patternType="solid">
        <fgColor indexed="55"/>
        <bgColor indexed="64"/>
      </patternFill>
    </fill>
    <fill>
      <patternFill patternType="solid">
        <fgColor indexed="42"/>
        <bgColor indexed="64"/>
      </patternFill>
    </fill>
    <fill>
      <patternFill patternType="solid">
        <fgColor indexed="45"/>
        <bgColor indexed="64"/>
      </patternFill>
    </fill>
    <fill>
      <patternFill patternType="solid">
        <fgColor indexed="62"/>
        <bgColor indexed="64"/>
      </patternFill>
    </fill>
    <fill>
      <patternFill patternType="solid">
        <fgColor indexed="31"/>
        <bgColor indexed="64"/>
      </patternFill>
    </fill>
    <fill>
      <patternFill patternType="solid">
        <fgColor indexed="44"/>
        <bgColor indexed="64"/>
      </patternFill>
    </fill>
    <fill>
      <patternFill patternType="solid">
        <fgColor indexed="30"/>
        <bgColor indexed="64"/>
      </patternFill>
    </fill>
    <fill>
      <patternFill patternType="solid">
        <fgColor indexed="10"/>
        <bgColor indexed="64"/>
      </patternFill>
    </fill>
    <fill>
      <patternFill patternType="solid">
        <fgColor indexed="29"/>
        <bgColor indexed="64"/>
      </patternFill>
    </fill>
    <fill>
      <patternFill patternType="solid">
        <fgColor indexed="57"/>
        <bgColor indexed="64"/>
      </patternFill>
    </fill>
    <fill>
      <patternFill patternType="solid">
        <fgColor indexed="11"/>
        <bgColor indexed="64"/>
      </patternFill>
    </fill>
    <fill>
      <patternFill patternType="solid">
        <fgColor indexed="36"/>
        <bgColor indexed="64"/>
      </patternFill>
    </fill>
    <fill>
      <patternFill patternType="solid">
        <fgColor indexed="46"/>
        <bgColor indexed="64"/>
      </patternFill>
    </fill>
    <fill>
      <patternFill patternType="solid">
        <fgColor indexed="49"/>
        <bgColor indexed="64"/>
      </patternFill>
    </fill>
    <fill>
      <patternFill patternType="solid">
        <fgColor indexed="27"/>
        <bgColor indexed="64"/>
      </patternFill>
    </fill>
    <fill>
      <patternFill patternType="solid">
        <fgColor indexed="53"/>
        <bgColor indexed="64"/>
      </patternFill>
    </fill>
    <fill>
      <patternFill patternType="solid">
        <fgColor indexed="51"/>
        <bgColor indexed="64"/>
      </patternFill>
    </fill>
    <fill>
      <patternFill patternType="solid">
        <fgColor indexed="52"/>
        <bgColor indexed="64"/>
      </patternFill>
    </fill>
  </fills>
  <borders count="99">
    <border>
      <left/>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bottom/>
      <diagonal/>
    </border>
    <border>
      <left style="thin">
        <color auto="1"/>
      </left>
      <right/>
      <top/>
      <bottom/>
      <diagonal/>
    </border>
    <border>
      <left/>
      <right style="thin">
        <color auto="1"/>
      </right>
      <top/>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bottom style="thin">
        <color auto="1"/>
      </bottom>
      <diagonal/>
    </border>
    <border>
      <left/>
      <right/>
      <top/>
      <bottom style="thin">
        <color auto="1"/>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right/>
      <top style="thin">
        <color auto="1"/>
      </top>
      <bottom/>
      <diagonal/>
    </border>
    <border>
      <left style="thin">
        <color theme="0"/>
      </left>
      <right style="thin">
        <color theme="0"/>
      </right>
      <top style="thin">
        <color theme="0"/>
      </top>
      <bottom style="thin">
        <color theme="0"/>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thin">
        <color auto="1"/>
      </bottom>
      <diagonal/>
    </border>
    <border>
      <left/>
      <right style="medium">
        <color auto="1"/>
      </right>
      <top/>
      <bottom/>
      <diagonal/>
    </border>
    <border>
      <left style="medium">
        <color auto="1"/>
      </left>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thin">
        <color auto="1"/>
      </right>
      <top style="medium">
        <color auto="1"/>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style="medium">
        <color auto="1"/>
      </top>
      <bottom style="thin">
        <color auto="1"/>
      </bottom>
      <diagonal/>
    </border>
    <border>
      <left/>
      <right style="thin">
        <color auto="1"/>
      </right>
      <top style="medium">
        <color auto="1"/>
      </top>
      <bottom style="thin">
        <color auto="1"/>
      </bottom>
      <diagonal/>
    </border>
    <border>
      <left/>
      <right/>
      <top style="medium">
        <color auto="1"/>
      </top>
      <bottom style="thin">
        <color auto="1"/>
      </bottom>
      <diagonal/>
    </border>
    <border>
      <left/>
      <right style="thin">
        <color auto="1"/>
      </right>
      <top style="thin">
        <color auto="1"/>
      </top>
      <bottom style="medium">
        <color auto="1"/>
      </bottom>
      <diagonal/>
    </border>
    <border>
      <left style="medium">
        <color auto="1"/>
      </left>
      <right style="medium">
        <color auto="1"/>
      </right>
      <top style="medium">
        <color auto="1"/>
      </top>
      <bottom style="medium">
        <color auto="1"/>
      </bottom>
      <diagonal/>
    </border>
    <border>
      <left style="thin">
        <color auto="1"/>
      </left>
      <right style="thin">
        <color auto="1"/>
      </right>
      <top style="medium">
        <color auto="1"/>
      </top>
      <bottom/>
      <diagonal/>
    </border>
    <border>
      <left style="medium">
        <color auto="1"/>
      </left>
      <right/>
      <top style="thin">
        <color auto="1"/>
      </top>
      <bottom/>
      <diagonal/>
    </border>
    <border>
      <left style="thin">
        <color auto="1"/>
      </left>
      <right style="medium">
        <color auto="1"/>
      </right>
      <top style="thin">
        <color auto="1"/>
      </top>
      <bottom/>
      <diagonal/>
    </border>
    <border>
      <left style="thin">
        <color auto="1"/>
      </left>
      <right style="medium">
        <color auto="1"/>
      </right>
      <top style="medium">
        <color auto="1"/>
      </top>
      <bottom style="medium">
        <color auto="1"/>
      </bottom>
      <diagonal/>
    </border>
    <border>
      <left/>
      <right style="medium">
        <color auto="1"/>
      </right>
      <top style="medium">
        <color auto="1"/>
      </top>
      <bottom style="thin">
        <color auto="1"/>
      </bottom>
      <diagonal/>
    </border>
    <border>
      <left style="thin">
        <color auto="1"/>
      </left>
      <right style="medium">
        <color auto="1"/>
      </right>
      <top style="medium">
        <color auto="1"/>
      </top>
      <bottom/>
      <diagonal/>
    </border>
    <border>
      <left style="thin">
        <color auto="1"/>
      </left>
      <right style="medium">
        <color auto="1"/>
      </right>
      <top/>
      <bottom/>
      <diagonal/>
    </border>
    <border>
      <left/>
      <right style="thin">
        <color auto="1"/>
      </right>
      <top/>
      <bottom style="medium">
        <color auto="1"/>
      </bottom>
      <diagonal/>
    </border>
    <border>
      <left style="medium">
        <color auto="1"/>
      </left>
      <right style="thin">
        <color auto="1"/>
      </right>
      <top style="medium">
        <color auto="1"/>
      </top>
      <bottom/>
      <diagonal/>
    </border>
    <border>
      <left style="medium">
        <color auto="1"/>
      </left>
      <right style="thin">
        <color auto="1"/>
      </right>
      <top/>
      <bottom/>
      <diagonal/>
    </border>
    <border>
      <left style="thin">
        <color auto="1"/>
      </left>
      <right style="medium">
        <color auto="1"/>
      </right>
      <top/>
      <bottom style="thin">
        <color auto="1"/>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style="thin">
        <color auto="1"/>
      </left>
      <right/>
      <top style="medium">
        <color auto="1"/>
      </top>
      <bottom style="thin">
        <color auto="1"/>
      </bottom>
      <diagonal/>
    </border>
    <border>
      <left/>
      <right style="medium">
        <color auto="1"/>
      </right>
      <top style="thin">
        <color auto="1"/>
      </top>
      <bottom style="thin">
        <color auto="1"/>
      </bottom>
      <diagonal/>
    </border>
    <border>
      <left style="thin">
        <color auto="1"/>
      </left>
      <right/>
      <top style="thin">
        <color auto="1"/>
      </top>
      <bottom style="medium">
        <color auto="1"/>
      </bottom>
      <diagonal/>
    </border>
    <border>
      <left/>
      <right style="medium">
        <color auto="1"/>
      </right>
      <top style="thin">
        <color auto="1"/>
      </top>
      <bottom style="medium">
        <color auto="1"/>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style="medium">
        <color auto="1"/>
      </left>
      <right style="thin">
        <color auto="1"/>
      </right>
      <top/>
      <bottom style="thin">
        <color auto="1"/>
      </bottom>
      <diagonal/>
    </border>
    <border>
      <left/>
      <right style="medium">
        <color auto="1"/>
      </right>
      <top style="thin">
        <color auto="1"/>
      </top>
      <bottom/>
      <diagonal/>
    </border>
    <border>
      <left style="thin">
        <color theme="0"/>
      </left>
      <right/>
      <top style="thin">
        <color theme="0"/>
      </top>
      <bottom/>
      <diagonal/>
    </border>
    <border>
      <left/>
      <right/>
      <top style="thin">
        <color theme="0"/>
      </top>
      <bottom/>
      <diagonal/>
    </border>
    <border>
      <left/>
      <right style="thin">
        <color theme="0"/>
      </right>
      <top style="thin">
        <color theme="0"/>
      </top>
      <bottom/>
      <diagonal/>
    </border>
    <border>
      <left style="thin">
        <color theme="0"/>
      </left>
      <right style="thin">
        <color theme="0"/>
      </right>
      <top style="thin">
        <color theme="0"/>
      </top>
      <bottom/>
      <diagonal/>
    </border>
    <border>
      <left style="thin">
        <color theme="0"/>
      </left>
      <right/>
      <top/>
      <bottom style="thin">
        <color theme="0"/>
      </bottom>
      <diagonal/>
    </border>
    <border>
      <left/>
      <right/>
      <top/>
      <bottom style="thin">
        <color theme="0"/>
      </bottom>
      <diagonal/>
    </border>
    <border>
      <left/>
      <right style="thin">
        <color theme="0"/>
      </right>
      <top/>
      <bottom style="thin">
        <color theme="0"/>
      </bottom>
      <diagonal/>
    </border>
    <border>
      <left style="thin">
        <color theme="0"/>
      </left>
      <right style="thin">
        <color theme="0"/>
      </right>
      <top/>
      <bottom style="thin">
        <color theme="0"/>
      </bottom>
      <diagonal/>
    </border>
    <border>
      <left style="thin">
        <color auto="1"/>
      </left>
      <right/>
      <top style="medium">
        <color auto="1"/>
      </top>
      <bottom/>
      <diagonal/>
    </border>
    <border>
      <left/>
      <right style="medium">
        <color auto="1"/>
      </right>
      <top/>
      <bottom style="thin">
        <color auto="1"/>
      </bottom>
      <diagonal/>
    </border>
    <border>
      <left/>
      <right/>
      <top/>
      <bottom style="thick">
        <color rgb="FFFF0000"/>
      </bottom>
      <diagonal/>
    </border>
    <border>
      <left/>
      <right style="thin">
        <color auto="1"/>
      </right>
      <top/>
      <bottom style="thick">
        <color rgb="FFFF0000"/>
      </bottom>
      <diagonal/>
    </border>
    <border>
      <left style="thick">
        <color rgb="FFFF0000"/>
      </left>
      <right/>
      <top style="thick">
        <color rgb="FFFF0000"/>
      </top>
      <bottom/>
      <diagonal/>
    </border>
    <border>
      <left/>
      <right/>
      <top style="thick">
        <color rgb="FFFF0000"/>
      </top>
      <bottom/>
      <diagonal/>
    </border>
    <border>
      <left style="thick">
        <color rgb="FFFF0000"/>
      </left>
      <right/>
      <top/>
      <bottom/>
      <diagonal/>
    </border>
    <border>
      <left style="thick">
        <color rgb="FFFF0000"/>
      </left>
      <right/>
      <top/>
      <bottom style="thick">
        <color rgb="FFFF0000"/>
      </bottom>
      <diagonal/>
    </border>
    <border>
      <left/>
      <right style="thin">
        <color auto="1"/>
      </right>
      <top style="thin">
        <color auto="1"/>
      </top>
      <bottom style="thick">
        <color rgb="FFFF0000"/>
      </bottom>
      <diagonal/>
    </border>
    <border>
      <left style="thin">
        <color auto="1"/>
      </left>
      <right/>
      <top/>
      <bottom style="thick">
        <color rgb="FFFF0000"/>
      </bottom>
      <diagonal/>
    </border>
    <border>
      <left/>
      <right style="thick">
        <color rgb="FFFF0000"/>
      </right>
      <top style="thick">
        <color rgb="FFFF0000"/>
      </top>
      <bottom/>
      <diagonal/>
    </border>
    <border>
      <left/>
      <right style="thick">
        <color rgb="FFFF0000"/>
      </right>
      <top/>
      <bottom/>
      <diagonal/>
    </border>
    <border>
      <left/>
      <right style="thick">
        <color rgb="FFFF0000"/>
      </right>
      <top/>
      <bottom style="thick">
        <color rgb="FFFF0000"/>
      </bottom>
      <diagonal/>
    </border>
    <border>
      <left style="thin">
        <color auto="1"/>
      </left>
      <right/>
      <top/>
      <bottom style="medium">
        <color auto="1"/>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62"/>
      </top>
      <bottom style="double">
        <color indexed="62"/>
      </bottom>
      <diagonal/>
    </border>
  </borders>
  <cellStyleXfs count="94">
    <xf numFmtId="0" fontId="0" fillId="0" borderId="0"/>
    <xf numFmtId="43" fontId="1" fillId="0" borderId="0" applyFont="0" applyFill="0" applyBorder="0" applyAlignment="0" applyProtection="0"/>
    <xf numFmtId="176" fontId="71" fillId="0" borderId="0" applyFont="0" applyFill="0" applyBorder="0" applyAlignment="0" applyProtection="0">
      <alignment vertical="center"/>
    </xf>
    <xf numFmtId="177" fontId="1" fillId="0" borderId="0" applyFont="0" applyFill="0" applyBorder="0" applyAlignment="0" applyProtection="0"/>
    <xf numFmtId="41" fontId="71" fillId="0" borderId="0" applyFont="0" applyFill="0" applyBorder="0" applyAlignment="0" applyProtection="0">
      <alignment vertical="center"/>
    </xf>
    <xf numFmtId="178" fontId="71" fillId="0" borderId="0" applyFont="0" applyFill="0" applyBorder="0" applyAlignment="0" applyProtection="0">
      <alignment vertical="center"/>
    </xf>
    <xf numFmtId="0" fontId="70" fillId="0" borderId="0" applyNumberFormat="0" applyFill="0" applyBorder="0" applyAlignment="0" applyProtection="0"/>
    <xf numFmtId="0" fontId="72" fillId="0" borderId="0" applyNumberFormat="0" applyFill="0" applyBorder="0" applyAlignment="0" applyProtection="0">
      <alignment vertical="center"/>
    </xf>
    <xf numFmtId="0" fontId="1" fillId="10" borderId="90" applyNumberFormat="0" applyFont="0" applyAlignment="0" applyProtection="0"/>
    <xf numFmtId="0" fontId="73" fillId="0" borderId="0" applyNumberFormat="0" applyFill="0" applyBorder="0" applyAlignment="0" applyProtection="0"/>
    <xf numFmtId="0" fontId="74" fillId="0" borderId="0" applyNumberFormat="0" applyFill="0" applyBorder="0" applyAlignment="0" applyProtection="0"/>
    <xf numFmtId="0" fontId="75" fillId="0" borderId="0" applyNumberFormat="0" applyFill="0" applyBorder="0" applyAlignment="0" applyProtection="0"/>
    <xf numFmtId="0" fontId="76" fillId="0" borderId="91" applyNumberFormat="0" applyFill="0" applyAlignment="0" applyProtection="0"/>
    <xf numFmtId="0" fontId="77" fillId="0" borderId="92" applyNumberFormat="0" applyFill="0" applyAlignment="0" applyProtection="0"/>
    <xf numFmtId="0" fontId="78" fillId="0" borderId="93" applyNumberFormat="0" applyFill="0" applyAlignment="0" applyProtection="0"/>
    <xf numFmtId="0" fontId="78" fillId="0" borderId="0" applyNumberFormat="0" applyFill="0" applyBorder="0" applyAlignment="0" applyProtection="0"/>
    <xf numFmtId="0" fontId="79" fillId="11" borderId="94" applyNumberFormat="0" applyAlignment="0" applyProtection="0"/>
    <xf numFmtId="0" fontId="80" fillId="12" borderId="95" applyNumberFormat="0" applyAlignment="0" applyProtection="0"/>
    <xf numFmtId="0" fontId="81" fillId="12" borderId="94" applyNumberFormat="0" applyAlignment="0" applyProtection="0"/>
    <xf numFmtId="0" fontId="82" fillId="13" borderId="96" applyNumberFormat="0" applyAlignment="0" applyProtection="0"/>
    <xf numFmtId="0" fontId="83" fillId="0" borderId="97" applyNumberFormat="0" applyFill="0" applyAlignment="0" applyProtection="0"/>
    <xf numFmtId="0" fontId="84" fillId="0" borderId="98" applyNumberFormat="0" applyFill="0" applyAlignment="0" applyProtection="0"/>
    <xf numFmtId="0" fontId="85" fillId="14" borderId="0" applyNumberFormat="0" applyBorder="0" applyAlignment="0" applyProtection="0"/>
    <xf numFmtId="0" fontId="86" fillId="15" borderId="0" applyNumberFormat="0" applyBorder="0" applyAlignment="0" applyProtection="0"/>
    <xf numFmtId="0" fontId="87" fillId="4" borderId="0" applyNumberFormat="0" applyBorder="0" applyAlignment="0" applyProtection="0"/>
    <xf numFmtId="0" fontId="88" fillId="16" borderId="0" applyNumberFormat="0" applyBorder="0" applyAlignment="0" applyProtection="0"/>
    <xf numFmtId="0" fontId="89" fillId="17" borderId="0" applyNumberFormat="0" applyBorder="0" applyAlignment="0" applyProtection="0"/>
    <xf numFmtId="0" fontId="89" fillId="18" borderId="0" applyNumberFormat="0" applyBorder="0" applyAlignment="0" applyProtection="0"/>
    <xf numFmtId="0" fontId="88" fillId="19" borderId="0" applyNumberFormat="0" applyBorder="0" applyAlignment="0" applyProtection="0"/>
    <xf numFmtId="0" fontId="88" fillId="20" borderId="0" applyNumberFormat="0" applyBorder="0" applyAlignment="0" applyProtection="0"/>
    <xf numFmtId="0" fontId="89" fillId="15" borderId="0" applyNumberFormat="0" applyBorder="0" applyAlignment="0" applyProtection="0"/>
    <xf numFmtId="0" fontId="89" fillId="21" borderId="0" applyNumberFormat="0" applyBorder="0" applyAlignment="0" applyProtection="0"/>
    <xf numFmtId="0" fontId="88" fillId="21" borderId="0" applyNumberFormat="0" applyBorder="0" applyAlignment="0" applyProtection="0"/>
    <xf numFmtId="0" fontId="88" fillId="22" borderId="0" applyNumberFormat="0" applyBorder="0" applyAlignment="0" applyProtection="0"/>
    <xf numFmtId="0" fontId="89" fillId="14" borderId="0" applyNumberFormat="0" applyBorder="0" applyAlignment="0" applyProtection="0"/>
    <xf numFmtId="0" fontId="89" fillId="23" borderId="0" applyNumberFormat="0" applyBorder="0" applyAlignment="0" applyProtection="0"/>
    <xf numFmtId="0" fontId="88" fillId="23" borderId="0" applyNumberFormat="0" applyBorder="0" applyAlignment="0" applyProtection="0"/>
    <xf numFmtId="0" fontId="88" fillId="24" borderId="0" applyNumberFormat="0" applyBorder="0" applyAlignment="0" applyProtection="0"/>
    <xf numFmtId="0" fontId="89" fillId="25" borderId="0" applyNumberFormat="0" applyBorder="0" applyAlignment="0" applyProtection="0"/>
    <xf numFmtId="0" fontId="89" fillId="25" borderId="0" applyNumberFormat="0" applyBorder="0" applyAlignment="0" applyProtection="0"/>
    <xf numFmtId="0" fontId="88" fillId="24" borderId="0" applyNumberFormat="0" applyBorder="0" applyAlignment="0" applyProtection="0"/>
    <xf numFmtId="0" fontId="88" fillId="26" borderId="0" applyNumberFormat="0" applyBorder="0" applyAlignment="0" applyProtection="0"/>
    <xf numFmtId="0" fontId="89" fillId="27" borderId="0" applyNumberFormat="0" applyBorder="0" applyAlignment="0" applyProtection="0"/>
    <xf numFmtId="0" fontId="89" fillId="18" borderId="0" applyNumberFormat="0" applyBorder="0" applyAlignment="0" applyProtection="0"/>
    <xf numFmtId="0" fontId="88" fillId="26" borderId="0" applyNumberFormat="0" applyBorder="0" applyAlignment="0" applyProtection="0"/>
    <xf numFmtId="0" fontId="88" fillId="28" borderId="0" applyNumberFormat="0" applyBorder="0" applyAlignment="0" applyProtection="0"/>
    <xf numFmtId="0" fontId="89" fillId="11" borderId="0" applyNumberFormat="0" applyBorder="0" applyAlignment="0" applyProtection="0"/>
    <xf numFmtId="0" fontId="89" fillId="29" borderId="0" applyNumberFormat="0" applyBorder="0" applyAlignment="0" applyProtection="0"/>
    <xf numFmtId="0" fontId="88" fillId="30" borderId="0" applyNumberFormat="0" applyBorder="0" applyAlignment="0" applyProtection="0"/>
    <xf numFmtId="0" fontId="89" fillId="17" borderId="0" applyNumberFormat="0" applyBorder="0" applyAlignment="0" applyProtection="0"/>
    <xf numFmtId="0" fontId="89" fillId="17" borderId="0" applyNumberFormat="0" applyBorder="0" applyAlignment="0" applyProtection="0"/>
    <xf numFmtId="0" fontId="89" fillId="17" borderId="0" applyNumberFormat="0" applyBorder="0" applyAlignment="0" applyProtection="0"/>
    <xf numFmtId="0" fontId="89" fillId="15" borderId="0" applyNumberFormat="0" applyBorder="0" applyAlignment="0" applyProtection="0"/>
    <xf numFmtId="0" fontId="89" fillId="15" borderId="0" applyNumberFormat="0" applyBorder="0" applyAlignment="0" applyProtection="0"/>
    <xf numFmtId="0" fontId="89" fillId="15" borderId="0" applyNumberFormat="0" applyBorder="0" applyAlignment="0" applyProtection="0"/>
    <xf numFmtId="0" fontId="89" fillId="14" borderId="0" applyNumberFormat="0" applyBorder="0" applyAlignment="0" applyProtection="0"/>
    <xf numFmtId="0" fontId="89" fillId="14" borderId="0" applyNumberFormat="0" applyBorder="0" applyAlignment="0" applyProtection="0"/>
    <xf numFmtId="0" fontId="89" fillId="14" borderId="0" applyNumberFormat="0" applyBorder="0" applyAlignment="0" applyProtection="0"/>
    <xf numFmtId="0" fontId="89" fillId="25" borderId="0" applyNumberFormat="0" applyBorder="0" applyAlignment="0" applyProtection="0"/>
    <xf numFmtId="0" fontId="89" fillId="25" borderId="0" applyNumberFormat="0" applyBorder="0" applyAlignment="0" applyProtection="0"/>
    <xf numFmtId="0" fontId="89" fillId="25" borderId="0" applyNumberFormat="0" applyBorder="0" applyAlignment="0" applyProtection="0"/>
    <xf numFmtId="0" fontId="89" fillId="27" borderId="0" applyNumberFormat="0" applyBorder="0" applyAlignment="0" applyProtection="0"/>
    <xf numFmtId="0" fontId="89" fillId="27" borderId="0" applyNumberFormat="0" applyBorder="0" applyAlignment="0" applyProtection="0"/>
    <xf numFmtId="0" fontId="89" fillId="27" borderId="0" applyNumberFormat="0" applyBorder="0" applyAlignment="0" applyProtection="0"/>
    <xf numFmtId="0" fontId="89" fillId="11" borderId="0" applyNumberFormat="0" applyBorder="0" applyAlignment="0" applyProtection="0"/>
    <xf numFmtId="0" fontId="89" fillId="11" borderId="0" applyNumberFormat="0" applyBorder="0" applyAlignment="0" applyProtection="0"/>
    <xf numFmtId="0" fontId="89" fillId="11" borderId="0" applyNumberFormat="0" applyBorder="0" applyAlignment="0" applyProtection="0"/>
    <xf numFmtId="0" fontId="89" fillId="18" borderId="0" applyNumberFormat="0" applyBorder="0" applyAlignment="0" applyProtection="0"/>
    <xf numFmtId="0" fontId="89" fillId="18" borderId="0" applyNumberFormat="0" applyBorder="0" applyAlignment="0" applyProtection="0"/>
    <xf numFmtId="0" fontId="89" fillId="18" borderId="0" applyNumberFormat="0" applyBorder="0" applyAlignment="0" applyProtection="0"/>
    <xf numFmtId="0" fontId="89" fillId="21" borderId="0" applyNumberFormat="0" applyBorder="0" applyAlignment="0" applyProtection="0"/>
    <xf numFmtId="0" fontId="89" fillId="21" borderId="0" applyNumberFormat="0" applyBorder="0" applyAlignment="0" applyProtection="0"/>
    <xf numFmtId="0" fontId="89" fillId="21" borderId="0" applyNumberFormat="0" applyBorder="0" applyAlignment="0" applyProtection="0"/>
    <xf numFmtId="0" fontId="89" fillId="23" borderId="0" applyNumberFormat="0" applyBorder="0" applyAlignment="0" applyProtection="0"/>
    <xf numFmtId="0" fontId="89" fillId="23" borderId="0" applyNumberFormat="0" applyBorder="0" applyAlignment="0" applyProtection="0"/>
    <xf numFmtId="0" fontId="89" fillId="23" borderId="0" applyNumberFormat="0" applyBorder="0" applyAlignment="0" applyProtection="0"/>
    <xf numFmtId="0" fontId="89" fillId="25" borderId="0" applyNumberFormat="0" applyBorder="0" applyAlignment="0" applyProtection="0"/>
    <xf numFmtId="0" fontId="89" fillId="25" borderId="0" applyNumberFormat="0" applyBorder="0" applyAlignment="0" applyProtection="0"/>
    <xf numFmtId="0" fontId="89" fillId="25" borderId="0" applyNumberFormat="0" applyBorder="0" applyAlignment="0" applyProtection="0"/>
    <xf numFmtId="0" fontId="89" fillId="18" borderId="0" applyNumberFormat="0" applyBorder="0" applyAlignment="0" applyProtection="0"/>
    <xf numFmtId="0" fontId="89" fillId="18" borderId="0" applyNumberFormat="0" applyBorder="0" applyAlignment="0" applyProtection="0"/>
    <xf numFmtId="0" fontId="89" fillId="18" borderId="0" applyNumberFormat="0" applyBorder="0" applyAlignment="0" applyProtection="0"/>
    <xf numFmtId="0" fontId="89" fillId="29" borderId="0" applyNumberFormat="0" applyBorder="0" applyAlignment="0" applyProtection="0"/>
    <xf numFmtId="0" fontId="89" fillId="29" borderId="0" applyNumberFormat="0" applyBorder="0" applyAlignment="0" applyProtection="0"/>
    <xf numFmtId="0" fontId="89" fillId="29" borderId="0" applyNumberFormat="0" applyBorder="0" applyAlignment="0" applyProtection="0"/>
    <xf numFmtId="0" fontId="4" fillId="12" borderId="0">
      <alignment horizontal="center" vertical="center" wrapText="1"/>
    </xf>
    <xf numFmtId="0" fontId="4" fillId="0" borderId="12" applyNumberFormat="0" applyFill="0" applyProtection="0">
      <alignment vertical="center"/>
    </xf>
    <xf numFmtId="0" fontId="30" fillId="0" borderId="18" applyNumberFormat="0" applyFill="0" applyBorder="0" applyProtection="0">
      <alignment vertical="center"/>
    </xf>
    <xf numFmtId="179" fontId="1" fillId="0" borderId="13" applyFill="0" applyBorder="0" applyProtection="0">
      <alignment horizontal="right"/>
      <protection locked="0"/>
    </xf>
    <xf numFmtId="179" fontId="1" fillId="0" borderId="13" applyFill="0" applyBorder="0" applyProtection="0">
      <alignment horizontal="right"/>
      <protection locked="0"/>
    </xf>
    <xf numFmtId="180" fontId="1" fillId="0" borderId="13" applyFill="0" applyBorder="0" applyProtection="0">
      <alignment horizontal="right"/>
      <protection locked="0"/>
    </xf>
    <xf numFmtId="180" fontId="1" fillId="0" borderId="13" applyFill="0" applyBorder="0" applyProtection="0">
      <alignment horizontal="right"/>
      <protection locked="0"/>
    </xf>
    <xf numFmtId="0" fontId="1" fillId="0" borderId="0"/>
    <xf numFmtId="181" fontId="22" fillId="0" borderId="0"/>
  </cellStyleXfs>
  <cellXfs count="1183">
    <xf numFmtId="0" fontId="0" fillId="0" borderId="0" xfId="0"/>
    <xf numFmtId="0" fontId="1" fillId="0" borderId="0" xfId="0" applyFont="1" applyAlignment="1" applyProtection="1">
      <alignment horizontal="center" vertical="center" wrapText="1"/>
    </xf>
    <xf numFmtId="0" fontId="0" fillId="0" borderId="0" xfId="0" applyAlignment="1" applyProtection="1">
      <alignment horizontal="center" vertical="center" wrapText="1"/>
    </xf>
    <xf numFmtId="182" fontId="1" fillId="0" borderId="0" xfId="0" applyNumberFormat="1" applyFont="1" applyFill="1" applyBorder="1" applyAlignment="1" applyProtection="1">
      <alignment horizontal="center"/>
    </xf>
    <xf numFmtId="0" fontId="2" fillId="0" borderId="0" xfId="0" applyFont="1" applyFill="1" applyAlignment="1">
      <alignment vertical="center" wrapText="1"/>
    </xf>
    <xf numFmtId="0" fontId="3" fillId="0" borderId="0" xfId="0" applyFont="1" applyFill="1"/>
    <xf numFmtId="0" fontId="4" fillId="0" borderId="1"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2" fillId="0" borderId="0" xfId="0" applyFont="1" applyFill="1"/>
    <xf numFmtId="0" fontId="5" fillId="0" borderId="1" xfId="85" applyFont="1" applyFill="1" applyBorder="1" applyProtection="1">
      <alignment horizontal="center" vertical="center" wrapText="1"/>
    </xf>
    <xf numFmtId="0" fontId="6" fillId="0" borderId="1" xfId="85" applyFont="1" applyFill="1" applyBorder="1" applyProtection="1">
      <alignment horizontal="center" vertical="center" wrapText="1"/>
    </xf>
    <xf numFmtId="0" fontId="6" fillId="0" borderId="2" xfId="85" applyFont="1" applyFill="1" applyBorder="1" applyProtection="1">
      <alignment horizontal="center" vertical="center" wrapText="1"/>
    </xf>
    <xf numFmtId="0" fontId="7" fillId="0" borderId="0" xfId="0" applyFont="1" applyFill="1"/>
    <xf numFmtId="0" fontId="4" fillId="0" borderId="3" xfId="0" applyFont="1" applyFill="1" applyBorder="1" applyAlignment="1" applyProtection="1">
      <alignment horizontal="center" vertical="center" wrapText="1"/>
    </xf>
    <xf numFmtId="182" fontId="0" fillId="2" borderId="4" xfId="0" applyNumberFormat="1" applyFill="1" applyBorder="1" applyProtection="1">
      <protection locked="0"/>
    </xf>
    <xf numFmtId="182" fontId="0" fillId="2" borderId="5" xfId="0" applyNumberFormat="1" applyFill="1" applyBorder="1" applyProtection="1">
      <protection locked="0"/>
    </xf>
    <xf numFmtId="0" fontId="4" fillId="0" borderId="6" xfId="0" applyFont="1" applyFill="1" applyBorder="1" applyAlignment="1" applyProtection="1">
      <alignment horizontal="center" vertical="center" wrapText="1"/>
    </xf>
    <xf numFmtId="182" fontId="0" fillId="2" borderId="7" xfId="0" applyNumberFormat="1" applyFill="1" applyBorder="1" applyProtection="1">
      <protection locked="0"/>
    </xf>
    <xf numFmtId="182" fontId="0" fillId="2" borderId="8" xfId="0" applyNumberFormat="1" applyFill="1" applyBorder="1" applyProtection="1">
      <protection locked="0"/>
    </xf>
    <xf numFmtId="0" fontId="4" fillId="0" borderId="9" xfId="0" applyFont="1" applyFill="1" applyBorder="1" applyAlignment="1" applyProtection="1">
      <alignment horizontal="center" vertical="center" wrapText="1"/>
    </xf>
    <xf numFmtId="182" fontId="0" fillId="2" borderId="10" xfId="0" applyNumberFormat="1" applyFill="1" applyBorder="1" applyProtection="1">
      <protection locked="0"/>
    </xf>
    <xf numFmtId="182" fontId="0" fillId="2" borderId="11" xfId="0" applyNumberFormat="1" applyFill="1" applyBorder="1" applyProtection="1">
      <protection locked="0"/>
    </xf>
    <xf numFmtId="182" fontId="0" fillId="2" borderId="0" xfId="0" applyNumberFormat="1" applyFill="1" applyBorder="1" applyProtection="1">
      <protection locked="0"/>
    </xf>
    <xf numFmtId="182" fontId="0" fillId="2" borderId="12" xfId="0" applyNumberFormat="1" applyFill="1" applyBorder="1" applyProtection="1">
      <protection locked="0"/>
    </xf>
    <xf numFmtId="0" fontId="4" fillId="0" borderId="0" xfId="0" applyFont="1" applyFill="1" applyBorder="1" applyAlignment="1" applyProtection="1">
      <alignment horizontal="center"/>
    </xf>
    <xf numFmtId="182" fontId="0" fillId="0" borderId="0" xfId="0" applyNumberFormat="1" applyFill="1" applyBorder="1" applyProtection="1"/>
    <xf numFmtId="0" fontId="0" fillId="0" borderId="0" xfId="0" applyFill="1"/>
    <xf numFmtId="4" fontId="7" fillId="0" borderId="12" xfId="0" applyNumberFormat="1" applyFont="1" applyFill="1" applyBorder="1" applyAlignment="1" applyProtection="1">
      <alignment horizontal="left"/>
    </xf>
    <xf numFmtId="0" fontId="4" fillId="0" borderId="13" xfId="85" applyFill="1" applyBorder="1" applyProtection="1">
      <alignment horizontal="center" vertical="center" wrapText="1"/>
    </xf>
    <xf numFmtId="0" fontId="4" fillId="0" borderId="1" xfId="85" applyFill="1" applyBorder="1" applyAlignment="1" applyProtection="1">
      <alignment horizontal="center" vertical="center" wrapText="1"/>
    </xf>
    <xf numFmtId="0" fontId="4" fillId="0" borderId="14" xfId="85" applyFill="1" applyBorder="1" applyAlignment="1" applyProtection="1">
      <alignment horizontal="center" vertical="center" wrapText="1"/>
    </xf>
    <xf numFmtId="3" fontId="0" fillId="0" borderId="6" xfId="0" applyNumberFormat="1" applyFill="1" applyBorder="1" applyAlignment="1" applyProtection="1">
      <alignment horizontal="center"/>
    </xf>
    <xf numFmtId="177" fontId="1" fillId="0" borderId="4" xfId="3" applyFont="1" applyFill="1" applyBorder="1" applyAlignment="1" applyProtection="1">
      <alignment horizontal="left"/>
    </xf>
    <xf numFmtId="177" fontId="1" fillId="0" borderId="15" xfId="3" applyFont="1" applyFill="1" applyBorder="1" applyAlignment="1" applyProtection="1">
      <alignment horizontal="left"/>
    </xf>
    <xf numFmtId="3" fontId="1" fillId="2" borderId="6" xfId="0" applyNumberFormat="1" applyFont="1" applyFill="1" applyBorder="1" applyAlignment="1" applyProtection="1">
      <alignment horizontal="center"/>
      <protection locked="0"/>
    </xf>
    <xf numFmtId="177" fontId="1" fillId="2" borderId="7" xfId="3" applyFont="1" applyFill="1" applyBorder="1" applyAlignment="1" applyProtection="1">
      <alignment horizontal="left"/>
      <protection locked="0"/>
    </xf>
    <xf numFmtId="177" fontId="1" fillId="2" borderId="0" xfId="3" applyFont="1" applyFill="1" applyBorder="1" applyAlignment="1" applyProtection="1">
      <alignment horizontal="left"/>
      <protection locked="0"/>
    </xf>
    <xf numFmtId="0" fontId="0" fillId="2" borderId="7" xfId="0" applyFill="1" applyBorder="1" applyAlignment="1" applyProtection="1">
      <alignment horizontal="left"/>
      <protection locked="0"/>
    </xf>
    <xf numFmtId="0" fontId="0" fillId="2" borderId="0" xfId="0" applyFill="1" applyBorder="1" applyAlignment="1" applyProtection="1">
      <alignment horizontal="left"/>
      <protection locked="0"/>
    </xf>
    <xf numFmtId="0" fontId="4" fillId="0" borderId="4" xfId="0" applyFont="1" applyFill="1" applyBorder="1" applyAlignment="1">
      <alignment horizontal="center" vertical="center"/>
    </xf>
    <xf numFmtId="0" fontId="4" fillId="0" borderId="5" xfId="0" applyFont="1" applyFill="1" applyBorder="1" applyAlignment="1">
      <alignment horizontal="center" vertical="center"/>
    </xf>
    <xf numFmtId="0" fontId="6" fillId="0" borderId="14" xfId="85" applyFont="1" applyFill="1" applyBorder="1" applyProtection="1">
      <alignment horizontal="center" vertical="center" wrapText="1"/>
    </xf>
    <xf numFmtId="182" fontId="0" fillId="2" borderId="15" xfId="0" applyNumberFormat="1" applyFill="1" applyBorder="1" applyProtection="1">
      <protection locked="0"/>
    </xf>
    <xf numFmtId="0" fontId="4" fillId="0" borderId="2" xfId="85" applyFill="1" applyBorder="1" applyAlignment="1" applyProtection="1">
      <alignment horizontal="center" vertical="center" wrapText="1"/>
    </xf>
    <xf numFmtId="177" fontId="1" fillId="0" borderId="5" xfId="3" applyFont="1" applyFill="1" applyBorder="1" applyAlignment="1" applyProtection="1">
      <alignment horizontal="left"/>
    </xf>
    <xf numFmtId="177" fontId="1" fillId="2" borderId="8" xfId="3" applyFont="1" applyFill="1" applyBorder="1" applyAlignment="1" applyProtection="1">
      <alignment horizontal="left"/>
      <protection locked="0"/>
    </xf>
    <xf numFmtId="0" fontId="0" fillId="2" borderId="8" xfId="0" applyFill="1" applyBorder="1" applyAlignment="1" applyProtection="1">
      <alignment horizontal="left"/>
      <protection locked="0"/>
    </xf>
    <xf numFmtId="0" fontId="0" fillId="0" borderId="0" xfId="0" applyFill="1" applyProtection="1"/>
    <xf numFmtId="0" fontId="2" fillId="0" borderId="0" xfId="0" applyFont="1" applyFill="1" applyProtection="1"/>
    <xf numFmtId="3" fontId="1" fillId="2" borderId="9" xfId="0" applyNumberFormat="1" applyFont="1" applyFill="1" applyBorder="1" applyAlignment="1" applyProtection="1">
      <alignment horizontal="center"/>
      <protection locked="0"/>
    </xf>
    <xf numFmtId="0" fontId="0" fillId="2" borderId="10" xfId="0" applyFill="1" applyBorder="1" applyAlignment="1" applyProtection="1">
      <alignment horizontal="left"/>
      <protection locked="0"/>
    </xf>
    <xf numFmtId="0" fontId="0" fillId="2" borderId="12" xfId="0" applyFill="1" applyBorder="1" applyAlignment="1" applyProtection="1">
      <alignment horizontal="left"/>
      <protection locked="0"/>
    </xf>
    <xf numFmtId="0" fontId="1" fillId="2" borderId="4" xfId="0" applyFont="1" applyFill="1" applyBorder="1" applyAlignment="1" applyProtection="1">
      <alignment horizontal="left"/>
      <protection locked="0"/>
    </xf>
    <xf numFmtId="0" fontId="1" fillId="2" borderId="15" xfId="0" applyFont="1" applyFill="1" applyBorder="1" applyAlignment="1" applyProtection="1">
      <alignment horizontal="left"/>
      <protection locked="0"/>
    </xf>
    <xf numFmtId="0" fontId="1" fillId="2" borderId="7" xfId="0" applyFont="1" applyFill="1" applyBorder="1" applyAlignment="1" applyProtection="1">
      <alignment horizontal="left"/>
      <protection locked="0"/>
    </xf>
    <xf numFmtId="0" fontId="1" fillId="2" borderId="0" xfId="0" applyFont="1" applyFill="1" applyBorder="1" applyAlignment="1" applyProtection="1">
      <alignment horizontal="left"/>
      <protection locked="0"/>
    </xf>
    <xf numFmtId="3" fontId="0" fillId="0" borderId="9" xfId="0" applyNumberFormat="1" applyFill="1" applyBorder="1" applyAlignment="1" applyProtection="1">
      <alignment horizontal="center"/>
    </xf>
    <xf numFmtId="0" fontId="1" fillId="2" borderId="10" xfId="0" applyFont="1" applyFill="1" applyBorder="1" applyAlignment="1" applyProtection="1">
      <alignment horizontal="left"/>
      <protection locked="0"/>
    </xf>
    <xf numFmtId="0" fontId="1" fillId="2" borderId="12" xfId="0" applyFont="1" applyFill="1" applyBorder="1" applyAlignment="1" applyProtection="1">
      <alignment horizontal="left"/>
      <protection locked="0"/>
    </xf>
    <xf numFmtId="4" fontId="7" fillId="0" borderId="0" xfId="0" applyNumberFormat="1" applyFont="1" applyFill="1" applyBorder="1" applyAlignment="1" applyProtection="1">
      <alignment horizontal="left"/>
    </xf>
    <xf numFmtId="0" fontId="4" fillId="0" borderId="3" xfId="85" applyFill="1" applyBorder="1" applyProtection="1">
      <alignment horizontal="center" vertical="center" wrapText="1"/>
    </xf>
    <xf numFmtId="0" fontId="4" fillId="0" borderId="5" xfId="85" applyFill="1" applyBorder="1" applyAlignment="1" applyProtection="1">
      <alignment vertical="center" wrapText="1"/>
    </xf>
    <xf numFmtId="3" fontId="1" fillId="0" borderId="3" xfId="0" applyNumberFormat="1" applyFont="1" applyFill="1" applyBorder="1" applyAlignment="1" applyProtection="1">
      <alignment horizontal="center"/>
    </xf>
    <xf numFmtId="49" fontId="1" fillId="0" borderId="4" xfId="3" applyNumberFormat="1" applyFont="1" applyFill="1" applyBorder="1" applyAlignment="1" applyProtection="1">
      <alignment horizontal="left"/>
    </xf>
    <xf numFmtId="49" fontId="1" fillId="0" borderId="5" xfId="3" applyNumberFormat="1" applyFont="1" applyFill="1" applyBorder="1" applyAlignment="1" applyProtection="1">
      <alignment horizontal="left"/>
    </xf>
    <xf numFmtId="182" fontId="0" fillId="0" borderId="3" xfId="0" applyNumberFormat="1" applyFill="1" applyBorder="1" applyAlignment="1" applyProtection="1">
      <alignment horizontal="center"/>
    </xf>
    <xf numFmtId="49" fontId="1" fillId="2" borderId="7" xfId="3" applyNumberFormat="1" applyFont="1" applyFill="1" applyBorder="1" applyAlignment="1" applyProtection="1">
      <alignment horizontal="center"/>
      <protection locked="0"/>
    </xf>
    <xf numFmtId="49" fontId="1" fillId="2" borderId="7" xfId="3" applyNumberFormat="1" applyFont="1" applyFill="1" applyBorder="1" applyAlignment="1" applyProtection="1">
      <alignment horizontal="left"/>
      <protection locked="0"/>
    </xf>
    <xf numFmtId="49" fontId="1" fillId="2" borderId="8" xfId="3" applyNumberFormat="1" applyFont="1" applyFill="1" applyBorder="1" applyAlignment="1" applyProtection="1">
      <alignment horizontal="left"/>
      <protection locked="0"/>
    </xf>
    <xf numFmtId="182" fontId="0" fillId="2" borderId="6" xfId="0" applyNumberFormat="1" applyFill="1" applyBorder="1" applyAlignment="1" applyProtection="1">
      <alignment horizontal="center"/>
      <protection locked="0"/>
    </xf>
    <xf numFmtId="49" fontId="1" fillId="2" borderId="7" xfId="0" applyNumberFormat="1" applyFont="1" applyFill="1" applyBorder="1" applyAlignment="1" applyProtection="1">
      <alignment horizontal="left"/>
      <protection locked="0"/>
    </xf>
    <xf numFmtId="49" fontId="1" fillId="2" borderId="8" xfId="0" applyNumberFormat="1" applyFont="1" applyFill="1" applyBorder="1" applyAlignment="1" applyProtection="1">
      <alignment horizontal="left"/>
      <protection locked="0"/>
    </xf>
    <xf numFmtId="49" fontId="0" fillId="2" borderId="8" xfId="0" applyNumberFormat="1" applyFill="1" applyBorder="1" applyAlignment="1" applyProtection="1">
      <alignment horizontal="left"/>
      <protection locked="0"/>
    </xf>
    <xf numFmtId="49" fontId="1" fillId="2" borderId="9" xfId="3" applyNumberFormat="1" applyFont="1" applyFill="1" applyBorder="1" applyAlignment="1" applyProtection="1">
      <alignment horizontal="center"/>
      <protection locked="0"/>
    </xf>
    <xf numFmtId="49" fontId="1" fillId="2" borderId="10" xfId="0" applyNumberFormat="1" applyFont="1" applyFill="1" applyBorder="1" applyAlignment="1" applyProtection="1">
      <alignment horizontal="left"/>
      <protection locked="0"/>
    </xf>
    <xf numFmtId="49" fontId="1" fillId="2" borderId="11" xfId="0" applyNumberFormat="1" applyFont="1" applyFill="1" applyBorder="1" applyAlignment="1" applyProtection="1">
      <alignment horizontal="left"/>
      <protection locked="0"/>
    </xf>
    <xf numFmtId="182" fontId="0" fillId="2" borderId="9" xfId="0" applyNumberFormat="1" applyFill="1" applyBorder="1" applyAlignment="1" applyProtection="1">
      <alignment horizontal="center"/>
      <protection locked="0"/>
    </xf>
    <xf numFmtId="0" fontId="1" fillId="2" borderId="8" xfId="0" applyFont="1" applyFill="1" applyBorder="1" applyAlignment="1" applyProtection="1">
      <alignment horizontal="left"/>
      <protection locked="0"/>
    </xf>
    <xf numFmtId="0" fontId="0" fillId="2" borderId="10" xfId="0" applyFill="1" applyBorder="1" applyAlignment="1" applyProtection="1">
      <alignment horizontal="left" vertical="top" wrapText="1"/>
      <protection locked="0"/>
    </xf>
    <xf numFmtId="0" fontId="0" fillId="2" borderId="11" xfId="0" applyFill="1" applyBorder="1" applyAlignment="1" applyProtection="1">
      <alignment horizontal="left" vertical="top" wrapText="1"/>
      <protection locked="0"/>
    </xf>
    <xf numFmtId="4" fontId="7" fillId="0" borderId="0" xfId="0" applyNumberFormat="1" applyFont="1" applyFill="1" applyBorder="1" applyAlignment="1" applyProtection="1">
      <alignment horizontal="right" wrapText="1"/>
    </xf>
    <xf numFmtId="182" fontId="0" fillId="2" borderId="1" xfId="0" applyNumberFormat="1" applyFill="1" applyBorder="1" applyAlignment="1" applyProtection="1">
      <alignment horizontal="center" vertical="center"/>
      <protection locked="0"/>
    </xf>
    <xf numFmtId="182" fontId="0" fillId="2" borderId="2" xfId="0" applyNumberFormat="1" applyFill="1" applyBorder="1" applyAlignment="1" applyProtection="1">
      <alignment horizontal="center" vertical="center"/>
      <protection locked="0"/>
    </xf>
    <xf numFmtId="4" fontId="7" fillId="0" borderId="0" xfId="0" applyNumberFormat="1" applyFont="1" applyFill="1" applyBorder="1" applyAlignment="1" applyProtection="1">
      <alignment horizontal="right" vertical="center" wrapText="1"/>
    </xf>
    <xf numFmtId="9" fontId="0" fillId="2" borderId="13" xfId="0" applyNumberFormat="1" applyFill="1" applyBorder="1" applyAlignment="1" applyProtection="1">
      <alignment horizontal="center"/>
      <protection locked="0"/>
    </xf>
    <xf numFmtId="0" fontId="0" fillId="3" borderId="0" xfId="0" applyFill="1" applyProtection="1"/>
    <xf numFmtId="177" fontId="1" fillId="0" borderId="0" xfId="3" applyFont="1" applyFill="1" applyBorder="1" applyProtection="1"/>
    <xf numFmtId="0" fontId="8" fillId="0" borderId="0" xfId="0" applyFont="1" applyFill="1"/>
    <xf numFmtId="9" fontId="0" fillId="2" borderId="1" xfId="0" applyNumberFormat="1" applyFill="1" applyBorder="1" applyAlignment="1" applyProtection="1">
      <alignment horizontal="center"/>
      <protection locked="0"/>
    </xf>
    <xf numFmtId="9" fontId="0" fillId="2" borderId="2" xfId="0" applyNumberFormat="1" applyFill="1" applyBorder="1" applyAlignment="1" applyProtection="1">
      <alignment horizontal="center"/>
      <protection locked="0"/>
    </xf>
    <xf numFmtId="177" fontId="1" fillId="4" borderId="1" xfId="3" applyFont="1" applyFill="1" applyBorder="1" applyAlignment="1" applyProtection="1">
      <alignment horizontal="center"/>
      <protection locked="0"/>
    </xf>
    <xf numFmtId="177" fontId="1" fillId="4" borderId="2" xfId="3" applyFont="1" applyFill="1" applyBorder="1" applyAlignment="1" applyProtection="1">
      <alignment horizontal="center"/>
      <protection locked="0"/>
    </xf>
    <xf numFmtId="0" fontId="0" fillId="2" borderId="11" xfId="0" applyFill="1" applyBorder="1" applyAlignment="1" applyProtection="1">
      <alignment horizontal="left"/>
      <protection locked="0"/>
    </xf>
    <xf numFmtId="0" fontId="1" fillId="2" borderId="5" xfId="0" applyFont="1" applyFill="1" applyBorder="1" applyAlignment="1" applyProtection="1">
      <alignment horizontal="left"/>
      <protection locked="0"/>
    </xf>
    <xf numFmtId="0" fontId="1" fillId="2" borderId="11" xfId="0" applyFont="1" applyFill="1" applyBorder="1" applyAlignment="1" applyProtection="1">
      <alignment horizontal="left"/>
      <protection locked="0"/>
    </xf>
    <xf numFmtId="0" fontId="9" fillId="0" borderId="16" xfId="0" applyFont="1" applyBorder="1" applyProtection="1">
      <protection hidden="1"/>
    </xf>
    <xf numFmtId="0" fontId="0" fillId="0" borderId="0" xfId="0" applyBorder="1"/>
    <xf numFmtId="9" fontId="0" fillId="0" borderId="0" xfId="0" applyNumberFormat="1" applyFill="1" applyBorder="1" applyAlignment="1" applyProtection="1">
      <alignment horizontal="center"/>
      <protection locked="0"/>
    </xf>
    <xf numFmtId="183" fontId="1" fillId="4" borderId="1" xfId="3" applyNumberFormat="1" applyFont="1" applyFill="1" applyBorder="1" applyAlignment="1" applyProtection="1">
      <alignment horizontal="center"/>
      <protection locked="0"/>
    </xf>
    <xf numFmtId="183" fontId="1" fillId="4" borderId="2" xfId="3" applyNumberFormat="1" applyFont="1" applyFill="1" applyBorder="1" applyAlignment="1" applyProtection="1">
      <alignment horizontal="center"/>
      <protection locked="0"/>
    </xf>
    <xf numFmtId="181" fontId="4" fillId="0" borderId="0" xfId="93" applyFont="1" applyFill="1" applyAlignment="1" applyProtection="1">
      <alignment vertical="center"/>
    </xf>
    <xf numFmtId="181" fontId="4" fillId="2" borderId="1" xfId="93" applyFont="1" applyFill="1" applyBorder="1" applyAlignment="1" applyProtection="1">
      <alignment horizontal="left" vertical="center"/>
      <protection locked="0"/>
    </xf>
    <xf numFmtId="181" fontId="4" fillId="2" borderId="14" xfId="93" applyFont="1" applyFill="1" applyBorder="1" applyAlignment="1" applyProtection="1">
      <alignment horizontal="left" vertical="center"/>
      <protection locked="0"/>
    </xf>
    <xf numFmtId="181" fontId="4" fillId="2" borderId="2" xfId="93" applyFont="1" applyFill="1" applyBorder="1" applyAlignment="1" applyProtection="1">
      <alignment horizontal="left" vertical="center"/>
      <protection locked="0"/>
    </xf>
    <xf numFmtId="4" fontId="2" fillId="0" borderId="0" xfId="0" applyNumberFormat="1" applyFont="1" applyFill="1" applyBorder="1" applyAlignment="1" applyProtection="1">
      <alignment horizontal="left"/>
    </xf>
    <xf numFmtId="4" fontId="2" fillId="0" borderId="0" xfId="0" applyNumberFormat="1" applyFont="1" applyFill="1" applyBorder="1" applyAlignment="1" applyProtection="1">
      <alignment horizontal="left" vertical="center" wrapText="1"/>
    </xf>
    <xf numFmtId="4" fontId="2" fillId="0" borderId="12" xfId="0" applyNumberFormat="1" applyFont="1" applyFill="1" applyBorder="1" applyAlignment="1" applyProtection="1">
      <alignment horizontal="left" vertical="center" wrapText="1"/>
    </xf>
    <xf numFmtId="0" fontId="4" fillId="0" borderId="13" xfId="85" applyFill="1" applyBorder="1" applyAlignment="1" applyProtection="1">
      <alignment horizontal="center" vertical="center" wrapText="1"/>
    </xf>
    <xf numFmtId="0" fontId="1" fillId="0" borderId="4" xfId="0" applyFont="1" applyFill="1" applyBorder="1" applyAlignment="1" applyProtection="1">
      <alignment horizontal="center"/>
    </xf>
    <xf numFmtId="1" fontId="0" fillId="0" borderId="3" xfId="0" applyNumberFormat="1" applyFill="1" applyBorder="1" applyAlignment="1" applyProtection="1">
      <alignment horizontal="center"/>
    </xf>
    <xf numFmtId="0" fontId="0" fillId="0" borderId="3" xfId="0" applyFill="1" applyBorder="1" applyAlignment="1" applyProtection="1">
      <alignment horizontal="center"/>
    </xf>
    <xf numFmtId="177" fontId="1" fillId="0" borderId="3" xfId="3" applyFont="1" applyFill="1" applyBorder="1" applyAlignment="1" applyProtection="1">
      <alignment horizontal="center"/>
    </xf>
    <xf numFmtId="177" fontId="1" fillId="0" borderId="3" xfId="3" applyFill="1" applyBorder="1" applyAlignment="1" applyProtection="1">
      <alignment horizontal="center"/>
    </xf>
    <xf numFmtId="177" fontId="1" fillId="0" borderId="5" xfId="3" applyFill="1" applyBorder="1" applyAlignment="1" applyProtection="1">
      <alignment horizontal="center"/>
    </xf>
    <xf numFmtId="0" fontId="0" fillId="0" borderId="7" xfId="0" applyFill="1" applyBorder="1" applyAlignment="1" applyProtection="1">
      <alignment horizontal="center"/>
    </xf>
    <xf numFmtId="1" fontId="0" fillId="0" borderId="6" xfId="0" applyNumberFormat="1" applyFill="1" applyBorder="1" applyAlignment="1" applyProtection="1">
      <alignment horizontal="center"/>
    </xf>
    <xf numFmtId="0" fontId="0" fillId="0" borderId="6" xfId="0" applyFill="1" applyBorder="1" applyAlignment="1" applyProtection="1">
      <alignment horizontal="center"/>
    </xf>
    <xf numFmtId="177" fontId="1" fillId="0" borderId="6" xfId="3" applyFont="1" applyFill="1" applyBorder="1" applyAlignment="1" applyProtection="1">
      <alignment horizontal="center"/>
    </xf>
    <xf numFmtId="177" fontId="1" fillId="0" borderId="6" xfId="3" applyFill="1" applyBorder="1" applyAlignment="1" applyProtection="1">
      <alignment horizontal="center"/>
    </xf>
    <xf numFmtId="177" fontId="1" fillId="0" borderId="8" xfId="3" applyFill="1" applyBorder="1" applyAlignment="1" applyProtection="1">
      <alignment horizontal="center"/>
    </xf>
    <xf numFmtId="0" fontId="0" fillId="0" borderId="10" xfId="0" applyFill="1" applyBorder="1" applyAlignment="1" applyProtection="1">
      <alignment horizontal="center"/>
    </xf>
    <xf numFmtId="1" fontId="0" fillId="0" borderId="9" xfId="0" applyNumberFormat="1" applyFill="1" applyBorder="1" applyAlignment="1" applyProtection="1">
      <alignment horizontal="center"/>
    </xf>
    <xf numFmtId="0" fontId="0" fillId="0" borderId="9" xfId="0" applyFill="1" applyBorder="1" applyAlignment="1" applyProtection="1">
      <alignment horizontal="center"/>
    </xf>
    <xf numFmtId="177" fontId="1" fillId="0" borderId="9" xfId="3" applyFont="1" applyFill="1" applyBorder="1" applyAlignment="1" applyProtection="1">
      <alignment horizontal="center"/>
    </xf>
    <xf numFmtId="177" fontId="1" fillId="0" borderId="9" xfId="3" applyFill="1" applyBorder="1" applyAlignment="1" applyProtection="1">
      <alignment horizontal="center"/>
    </xf>
    <xf numFmtId="177" fontId="1" fillId="0" borderId="11" xfId="3" applyFill="1" applyBorder="1" applyAlignment="1" applyProtection="1">
      <alignment horizontal="center"/>
    </xf>
    <xf numFmtId="0" fontId="4" fillId="0" borderId="13" xfId="85" applyFont="1" applyFill="1" applyBorder="1" applyProtection="1">
      <alignment horizontal="center" vertical="center" wrapText="1"/>
    </xf>
    <xf numFmtId="0" fontId="4" fillId="0" borderId="13" xfId="85" applyFont="1" applyFill="1" applyBorder="1" applyAlignment="1" applyProtection="1">
      <alignment horizontal="center" vertical="center" wrapText="1"/>
    </xf>
    <xf numFmtId="1" fontId="1" fillId="0" borderId="3" xfId="0" applyNumberFormat="1" applyFont="1" applyFill="1" applyBorder="1" applyAlignment="1" applyProtection="1">
      <alignment horizontal="center"/>
    </xf>
    <xf numFmtId="0" fontId="1" fillId="0" borderId="3" xfId="0" applyFont="1" applyFill="1" applyBorder="1" applyAlignment="1" applyProtection="1">
      <alignment horizontal="center"/>
    </xf>
    <xf numFmtId="177" fontId="1" fillId="0" borderId="5" xfId="3" applyFont="1" applyFill="1" applyBorder="1" applyAlignment="1" applyProtection="1">
      <alignment horizontal="center"/>
    </xf>
    <xf numFmtId="0" fontId="1" fillId="0" borderId="7" xfId="0" applyFont="1" applyFill="1" applyBorder="1" applyAlignment="1" applyProtection="1">
      <alignment horizontal="center"/>
    </xf>
    <xf numFmtId="1" fontId="1" fillId="0" borderId="6" xfId="0" applyNumberFormat="1" applyFont="1" applyFill="1" applyBorder="1" applyAlignment="1" applyProtection="1">
      <alignment horizontal="center"/>
    </xf>
    <xf numFmtId="0" fontId="1" fillId="0" borderId="6" xfId="0" applyFont="1" applyFill="1" applyBorder="1" applyAlignment="1" applyProtection="1">
      <alignment horizontal="center"/>
    </xf>
    <xf numFmtId="177" fontId="1" fillId="0" borderId="8" xfId="3" applyFont="1" applyFill="1" applyBorder="1" applyAlignment="1" applyProtection="1">
      <alignment horizontal="center"/>
    </xf>
    <xf numFmtId="0" fontId="1" fillId="0" borderId="10" xfId="0" applyFont="1" applyFill="1" applyBorder="1" applyAlignment="1" applyProtection="1">
      <alignment horizontal="center"/>
    </xf>
    <xf numFmtId="1" fontId="1" fillId="0" borderId="9" xfId="0" applyNumberFormat="1" applyFont="1" applyFill="1" applyBorder="1" applyAlignment="1" applyProtection="1">
      <alignment horizontal="center"/>
    </xf>
    <xf numFmtId="0" fontId="1" fillId="0" borderId="9" xfId="0" applyFont="1" applyFill="1" applyBorder="1" applyAlignment="1" applyProtection="1">
      <alignment horizontal="center"/>
    </xf>
    <xf numFmtId="177" fontId="1" fillId="0" borderId="11" xfId="3" applyFont="1" applyFill="1" applyBorder="1" applyAlignment="1" applyProtection="1">
      <alignment horizontal="center"/>
    </xf>
    <xf numFmtId="0" fontId="10" fillId="0" borderId="0" xfId="87" applyFont="1" applyFill="1" applyBorder="1" applyAlignment="1" applyProtection="1">
      <alignment horizontal="center" vertical="center"/>
    </xf>
    <xf numFmtId="0" fontId="11" fillId="0" borderId="17" xfId="87" applyFont="1" applyFill="1" applyBorder="1" applyAlignment="1" applyProtection="1">
      <alignment horizontal="left" vertical="center"/>
    </xf>
    <xf numFmtId="0" fontId="11" fillId="0" borderId="18" xfId="87" applyFont="1" applyFill="1" applyBorder="1" applyAlignment="1" applyProtection="1">
      <alignment horizontal="left" vertical="center"/>
    </xf>
    <xf numFmtId="0" fontId="11" fillId="0" borderId="19" xfId="87" applyFont="1" applyFill="1" applyBorder="1" applyAlignment="1" applyProtection="1">
      <alignment horizontal="left" vertical="center"/>
    </xf>
    <xf numFmtId="0" fontId="1" fillId="0" borderId="20" xfId="87" applyFont="1" applyFill="1" applyBorder="1" applyAlignment="1" applyProtection="1">
      <alignment horizontal="left" vertical="center"/>
    </xf>
    <xf numFmtId="0" fontId="1" fillId="0" borderId="12" xfId="87" applyFont="1" applyFill="1" applyBorder="1" applyAlignment="1" applyProtection="1">
      <alignment horizontal="left" vertical="center"/>
    </xf>
    <xf numFmtId="0" fontId="1" fillId="0" borderId="11" xfId="87" applyFont="1" applyFill="1" applyBorder="1" applyAlignment="1" applyProtection="1">
      <alignment horizontal="left" vertical="center"/>
    </xf>
    <xf numFmtId="58" fontId="0" fillId="2" borderId="3" xfId="0" applyNumberFormat="1" applyFill="1" applyBorder="1" applyProtection="1">
      <protection locked="0"/>
    </xf>
    <xf numFmtId="0" fontId="0" fillId="0" borderId="21" xfId="0" applyBorder="1"/>
    <xf numFmtId="0" fontId="1" fillId="0" borderId="22" xfId="87" applyFont="1" applyFill="1" applyBorder="1" applyAlignment="1" applyProtection="1">
      <alignment horizontal="left" vertical="center"/>
    </xf>
    <xf numFmtId="0" fontId="1" fillId="0" borderId="14" xfId="87" applyFont="1" applyFill="1" applyBorder="1" applyAlignment="1" applyProtection="1">
      <alignment horizontal="left" vertical="center"/>
    </xf>
    <xf numFmtId="0" fontId="1" fillId="0" borderId="2" xfId="87" applyFont="1" applyFill="1" applyBorder="1" applyAlignment="1" applyProtection="1">
      <alignment horizontal="left" vertical="center"/>
    </xf>
    <xf numFmtId="183" fontId="1" fillId="5" borderId="13" xfId="0" applyNumberFormat="1" applyFont="1" applyFill="1" applyBorder="1"/>
    <xf numFmtId="0" fontId="4" fillId="0" borderId="23" xfId="87" applyFont="1" applyFill="1" applyBorder="1" applyAlignment="1" applyProtection="1">
      <alignment horizontal="left" vertical="center"/>
    </xf>
    <xf numFmtId="0" fontId="0" fillId="0" borderId="24" xfId="0" applyBorder="1"/>
    <xf numFmtId="0" fontId="1" fillId="0" borderId="24" xfId="0" applyFont="1" applyBorder="1"/>
    <xf numFmtId="183" fontId="1" fillId="0" borderId="24" xfId="0" applyNumberFormat="1" applyFont="1" applyFill="1" applyBorder="1"/>
    <xf numFmtId="0" fontId="0" fillId="0" borderId="25" xfId="0" applyBorder="1"/>
    <xf numFmtId="0" fontId="0" fillId="0" borderId="26" xfId="0" applyBorder="1"/>
    <xf numFmtId="0" fontId="4" fillId="0" borderId="0" xfId="0" applyFont="1" applyBorder="1" applyAlignment="1">
      <alignment horizontal="center"/>
    </xf>
    <xf numFmtId="0" fontId="4" fillId="0" borderId="0" xfId="0" applyFont="1" applyBorder="1"/>
    <xf numFmtId="0" fontId="4" fillId="0" borderId="0" xfId="0" applyFont="1" applyFill="1" applyBorder="1" applyAlignment="1">
      <alignment horizontal="center"/>
    </xf>
    <xf numFmtId="0" fontId="1" fillId="0" borderId="20" xfId="0" applyFont="1" applyBorder="1" applyAlignment="1">
      <alignment horizontal="left"/>
    </xf>
    <xf numFmtId="0" fontId="1" fillId="0" borderId="11" xfId="0" applyFont="1" applyBorder="1" applyAlignment="1">
      <alignment horizontal="left"/>
    </xf>
    <xf numFmtId="182" fontId="0" fillId="5" borderId="3" xfId="0" applyNumberFormat="1" applyFill="1" applyBorder="1"/>
    <xf numFmtId="0" fontId="0" fillId="0" borderId="10" xfId="0" applyBorder="1" applyAlignment="1">
      <alignment horizontal="left"/>
    </xf>
    <xf numFmtId="0" fontId="0" fillId="0" borderId="12" xfId="0" applyBorder="1" applyAlignment="1">
      <alignment horizontal="left"/>
    </xf>
    <xf numFmtId="0" fontId="1" fillId="0" borderId="22" xfId="0" applyFont="1" applyBorder="1" applyAlignment="1">
      <alignment horizontal="left"/>
    </xf>
    <xf numFmtId="0" fontId="1" fillId="0" borderId="2" xfId="0" applyFont="1" applyBorder="1" applyAlignment="1">
      <alignment horizontal="left"/>
    </xf>
    <xf numFmtId="182" fontId="0" fillId="5" borderId="13" xfId="0" applyNumberFormat="1" applyFill="1" applyBorder="1"/>
    <xf numFmtId="0" fontId="0" fillId="0" borderId="1" xfId="0" applyBorder="1" applyAlignment="1">
      <alignment horizontal="left"/>
    </xf>
    <xf numFmtId="0" fontId="0" fillId="0" borderId="14" xfId="0" applyBorder="1" applyAlignment="1">
      <alignment horizontal="left"/>
    </xf>
    <xf numFmtId="182" fontId="0" fillId="5" borderId="9" xfId="0" applyNumberFormat="1" applyFill="1" applyBorder="1"/>
    <xf numFmtId="182" fontId="0" fillId="5" borderId="6" xfId="0" applyNumberFormat="1" applyFill="1" applyBorder="1"/>
    <xf numFmtId="0" fontId="4" fillId="0" borderId="27" xfId="0" applyFont="1" applyBorder="1"/>
    <xf numFmtId="0" fontId="0" fillId="0" borderId="28" xfId="0" applyBorder="1"/>
    <xf numFmtId="182" fontId="0" fillId="0" borderId="28" xfId="0" applyNumberFormat="1" applyFill="1" applyBorder="1"/>
    <xf numFmtId="58" fontId="0" fillId="0" borderId="28" xfId="0" applyNumberFormat="1" applyFill="1" applyBorder="1"/>
    <xf numFmtId="0" fontId="11" fillId="0" borderId="18" xfId="0" applyFont="1" applyFill="1" applyBorder="1" applyAlignment="1">
      <alignment horizontal="right"/>
    </xf>
    <xf numFmtId="0" fontId="11" fillId="0" borderId="29" xfId="0" applyFont="1" applyFill="1" applyBorder="1" applyAlignment="1">
      <alignment horizontal="right"/>
    </xf>
    <xf numFmtId="182" fontId="11" fillId="5" borderId="9" xfId="0" applyNumberFormat="1" applyFont="1" applyFill="1" applyBorder="1"/>
    <xf numFmtId="0" fontId="12" fillId="0" borderId="0" xfId="0" applyFont="1" applyFill="1" applyBorder="1" applyAlignment="1">
      <alignment horizontal="right"/>
    </xf>
    <xf numFmtId="182" fontId="12" fillId="0" borderId="0" xfId="0" applyNumberFormat="1" applyFont="1" applyFill="1" applyBorder="1"/>
    <xf numFmtId="0" fontId="13" fillId="0" borderId="0" xfId="0" applyFont="1" applyFill="1" applyBorder="1" applyAlignment="1">
      <alignment horizontal="right"/>
    </xf>
    <xf numFmtId="58" fontId="13" fillId="5" borderId="0" xfId="0" applyNumberFormat="1" applyFont="1" applyFill="1" applyBorder="1"/>
    <xf numFmtId="58" fontId="12" fillId="0" borderId="0" xfId="0" applyNumberFormat="1" applyFont="1" applyFill="1" applyBorder="1"/>
    <xf numFmtId="0" fontId="1" fillId="0" borderId="12" xfId="0" applyFont="1" applyBorder="1" applyAlignment="1">
      <alignment horizontal="left"/>
    </xf>
    <xf numFmtId="182" fontId="0" fillId="5" borderId="4" xfId="0" applyNumberFormat="1" applyFill="1" applyBorder="1"/>
    <xf numFmtId="0" fontId="1" fillId="0" borderId="14" xfId="0" applyFont="1" applyBorder="1" applyAlignment="1">
      <alignment horizontal="left"/>
    </xf>
    <xf numFmtId="182" fontId="0" fillId="5" borderId="1" xfId="0" applyNumberFormat="1" applyFill="1" applyBorder="1"/>
    <xf numFmtId="182" fontId="0" fillId="5" borderId="2" xfId="0" applyNumberFormat="1" applyFill="1" applyBorder="1"/>
    <xf numFmtId="0" fontId="4" fillId="0" borderId="23" xfId="0" applyFont="1" applyBorder="1"/>
    <xf numFmtId="182" fontId="0" fillId="0" borderId="24" xfId="0" applyNumberFormat="1" applyFill="1" applyBorder="1"/>
    <xf numFmtId="182" fontId="11" fillId="5" borderId="10" xfId="0" applyNumberFormat="1" applyFont="1" applyFill="1" applyBorder="1"/>
    <xf numFmtId="182" fontId="11" fillId="5" borderId="11" xfId="0" applyNumberFormat="1" applyFont="1" applyFill="1" applyBorder="1"/>
    <xf numFmtId="58" fontId="13" fillId="5" borderId="0" xfId="0" applyNumberFormat="1" applyFont="1" applyFill="1" applyBorder="1" applyAlignment="1">
      <alignment horizontal="right"/>
    </xf>
    <xf numFmtId="0" fontId="14" fillId="0" borderId="0" xfId="0" applyFont="1" applyFill="1" applyBorder="1" applyAlignment="1">
      <alignment horizontal="right"/>
    </xf>
    <xf numFmtId="182" fontId="1" fillId="5" borderId="13" xfId="0" applyNumberFormat="1" applyFont="1" applyFill="1" applyBorder="1"/>
    <xf numFmtId="0" fontId="11" fillId="0" borderId="0" xfId="0" applyFont="1" applyFill="1" applyBorder="1" applyAlignment="1">
      <alignment horizontal="right"/>
    </xf>
    <xf numFmtId="0" fontId="15" fillId="0" borderId="0" xfId="0" applyFont="1" applyFill="1" applyBorder="1" applyProtection="1"/>
    <xf numFmtId="0" fontId="0" fillId="0" borderId="0" xfId="0" applyFill="1" applyBorder="1" applyProtection="1"/>
    <xf numFmtId="0" fontId="16" fillId="0" borderId="26" xfId="6" applyFont="1" applyBorder="1" applyAlignment="1">
      <alignment horizontal="center" vertical="center" wrapText="1"/>
    </xf>
    <xf numFmtId="0" fontId="17" fillId="0" borderId="0" xfId="86" applyFont="1" applyFill="1" applyBorder="1" applyAlignment="1" applyProtection="1">
      <alignment vertical="center" wrapText="1"/>
    </xf>
    <xf numFmtId="0" fontId="17" fillId="0" borderId="24" xfId="86" applyFont="1" applyFill="1" applyBorder="1" applyAlignment="1" applyProtection="1">
      <alignment horizontal="center" vertical="center" wrapText="1"/>
    </xf>
    <xf numFmtId="0" fontId="4" fillId="0" borderId="30" xfId="86" applyFont="1" applyFill="1" applyBorder="1" applyAlignment="1" applyProtection="1">
      <alignment horizontal="center" vertical="center"/>
    </xf>
    <xf numFmtId="0" fontId="4" fillId="0" borderId="31" xfId="86" applyFont="1" applyFill="1" applyBorder="1" applyAlignment="1" applyProtection="1">
      <alignment horizontal="center" vertical="center" wrapText="1"/>
    </xf>
    <xf numFmtId="0" fontId="4" fillId="0" borderId="32" xfId="0" applyFont="1" applyFill="1" applyBorder="1" applyAlignment="1" applyProtection="1">
      <alignment horizontal="center" vertical="center" wrapText="1"/>
    </xf>
    <xf numFmtId="0" fontId="0" fillId="6" borderId="33" xfId="0" applyFill="1" applyBorder="1" applyAlignment="1" applyProtection="1">
      <alignment horizontal="center"/>
    </xf>
    <xf numFmtId="184" fontId="1" fillId="2" borderId="2" xfId="88" applyNumberFormat="1" applyFont="1" applyFill="1" applyBorder="1" applyProtection="1">
      <alignment horizontal="right"/>
      <protection locked="0"/>
    </xf>
    <xf numFmtId="180" fontId="1" fillId="7" borderId="34" xfId="90" applyFill="1" applyBorder="1" applyProtection="1">
      <alignment horizontal="right"/>
    </xf>
    <xf numFmtId="0" fontId="16" fillId="0" borderId="0" xfId="6" applyFont="1" applyFill="1" applyBorder="1" applyAlignment="1" applyProtection="1">
      <alignment horizontal="center" vertical="center" wrapText="1"/>
    </xf>
    <xf numFmtId="0" fontId="0" fillId="6" borderId="35" xfId="0" applyFill="1" applyBorder="1" applyAlignment="1" applyProtection="1">
      <alignment horizontal="center"/>
    </xf>
    <xf numFmtId="184" fontId="1" fillId="2" borderId="36" xfId="88" applyNumberFormat="1" applyFont="1" applyFill="1" applyBorder="1" applyProtection="1">
      <alignment horizontal="right"/>
      <protection locked="0"/>
    </xf>
    <xf numFmtId="180" fontId="1" fillId="7" borderId="37" xfId="90" applyFill="1" applyBorder="1" applyProtection="1">
      <alignment horizontal="right"/>
    </xf>
    <xf numFmtId="0" fontId="17" fillId="0" borderId="0" xfId="86" applyFont="1" applyFill="1" applyBorder="1" applyAlignment="1" applyProtection="1">
      <alignment horizontal="right" vertical="center"/>
    </xf>
    <xf numFmtId="184" fontId="17" fillId="6" borderId="9" xfId="88" applyNumberFormat="1" applyFont="1" applyFill="1" applyBorder="1" applyProtection="1">
      <alignment horizontal="right"/>
    </xf>
    <xf numFmtId="180" fontId="17" fillId="7" borderId="9" xfId="90" applyFont="1" applyFill="1" applyBorder="1" applyProtection="1">
      <alignment horizontal="right"/>
    </xf>
    <xf numFmtId="181" fontId="1" fillId="0" borderId="0" xfId="93" applyFont="1" applyFill="1"/>
    <xf numFmtId="181" fontId="1" fillId="0" borderId="0" xfId="93" applyFont="1" applyFill="1" applyProtection="1"/>
    <xf numFmtId="181" fontId="18" fillId="0" borderId="0" xfId="93" applyFont="1" applyFill="1"/>
    <xf numFmtId="181" fontId="1" fillId="0" borderId="0" xfId="93" applyFont="1"/>
    <xf numFmtId="181" fontId="1" fillId="0" borderId="0" xfId="93" applyFont="1" applyProtection="1"/>
    <xf numFmtId="181" fontId="1" fillId="0" borderId="0" xfId="93" applyFont="1" applyAlignment="1" applyProtection="1">
      <alignment horizontal="center"/>
    </xf>
    <xf numFmtId="181" fontId="17" fillId="0" borderId="0" xfId="93" applyFont="1" applyFill="1" applyBorder="1" applyAlignment="1" applyProtection="1">
      <alignment horizontal="left" vertical="center"/>
    </xf>
    <xf numFmtId="181" fontId="4" fillId="0" borderId="0" xfId="93" applyFont="1" applyFill="1" applyAlignment="1" applyProtection="1">
      <alignment horizontal="left" vertical="center"/>
    </xf>
    <xf numFmtId="181" fontId="4" fillId="0" borderId="21" xfId="93" applyFont="1" applyFill="1" applyBorder="1" applyAlignment="1" applyProtection="1">
      <alignment horizontal="left" vertical="center"/>
    </xf>
    <xf numFmtId="181" fontId="4" fillId="2" borderId="38" xfId="93" applyFont="1" applyFill="1" applyBorder="1" applyAlignment="1" applyProtection="1">
      <alignment horizontal="left"/>
      <protection locked="0"/>
    </xf>
    <xf numFmtId="181" fontId="4" fillId="2" borderId="39" xfId="93" applyFont="1" applyFill="1" applyBorder="1" applyAlignment="1" applyProtection="1">
      <alignment horizontal="left"/>
      <protection locked="0"/>
    </xf>
    <xf numFmtId="181" fontId="4" fillId="2" borderId="40" xfId="93" applyFont="1" applyFill="1" applyBorder="1" applyAlignment="1" applyProtection="1">
      <alignment horizontal="left"/>
      <protection locked="0"/>
    </xf>
    <xf numFmtId="181" fontId="19" fillId="0" borderId="0" xfId="93" applyFont="1" applyFill="1" applyAlignment="1" applyProtection="1">
      <alignment vertical="center"/>
    </xf>
    <xf numFmtId="181" fontId="1" fillId="0" borderId="0" xfId="93" applyFont="1" applyFill="1" applyAlignment="1" applyProtection="1">
      <alignment vertical="center"/>
    </xf>
    <xf numFmtId="181" fontId="20" fillId="0" borderId="6" xfId="93" applyFont="1" applyFill="1" applyBorder="1" applyAlignment="1" applyProtection="1">
      <alignment horizontal="center" vertical="center"/>
      <protection locked="0"/>
    </xf>
    <xf numFmtId="181" fontId="1" fillId="0" borderId="0" xfId="93" applyFont="1" applyFill="1" applyAlignment="1" applyProtection="1">
      <alignment vertical="center"/>
      <protection locked="0"/>
    </xf>
    <xf numFmtId="181" fontId="21" fillId="0" borderId="41" xfId="93" applyFont="1" applyFill="1" applyBorder="1" applyAlignment="1" applyProtection="1">
      <alignment horizontal="left" vertical="center"/>
    </xf>
    <xf numFmtId="181" fontId="21" fillId="0" borderId="42" xfId="93" applyFont="1" applyFill="1" applyBorder="1" applyAlignment="1" applyProtection="1">
      <alignment horizontal="left" vertical="center"/>
    </xf>
    <xf numFmtId="181" fontId="21" fillId="0" borderId="31" xfId="93" applyFont="1" applyFill="1" applyBorder="1" applyAlignment="1" applyProtection="1">
      <alignment horizontal="center" vertical="center"/>
    </xf>
    <xf numFmtId="181" fontId="21" fillId="0" borderId="43" xfId="93" applyFont="1" applyFill="1" applyBorder="1" applyAlignment="1" applyProtection="1">
      <alignment horizontal="center" vertical="center"/>
    </xf>
    <xf numFmtId="181" fontId="21" fillId="0" borderId="42" xfId="93" applyFont="1" applyFill="1" applyBorder="1" applyAlignment="1" applyProtection="1">
      <alignment horizontal="center" vertical="center"/>
    </xf>
    <xf numFmtId="181" fontId="1" fillId="0" borderId="22" xfId="93" applyFont="1" applyFill="1" applyBorder="1" applyAlignment="1" applyProtection="1">
      <alignment horizontal="left" vertical="center"/>
    </xf>
    <xf numFmtId="181" fontId="1" fillId="0" borderId="2" xfId="93" applyFont="1" applyFill="1" applyBorder="1" applyAlignment="1" applyProtection="1">
      <alignment horizontal="left" vertical="center"/>
    </xf>
    <xf numFmtId="1" fontId="1" fillId="2" borderId="13" xfId="93" applyNumberFormat="1" applyFont="1" applyFill="1" applyBorder="1" applyAlignment="1" applyProtection="1">
      <alignment vertical="center"/>
      <protection locked="0"/>
    </xf>
    <xf numFmtId="2" fontId="1" fillId="2" borderId="1" xfId="93" applyNumberFormat="1" applyFont="1" applyFill="1" applyBorder="1" applyAlignment="1" applyProtection="1">
      <alignment vertical="center"/>
      <protection locked="0"/>
    </xf>
    <xf numFmtId="4" fontId="1" fillId="7" borderId="13" xfId="93" applyNumberFormat="1" applyFont="1" applyFill="1" applyBorder="1" applyAlignment="1" applyProtection="1">
      <alignment vertical="center"/>
      <protection locked="0"/>
    </xf>
    <xf numFmtId="4" fontId="1" fillId="7" borderId="14" xfId="93" applyNumberFormat="1" applyFont="1" applyFill="1" applyBorder="1" applyAlignment="1" applyProtection="1">
      <alignment vertical="center"/>
      <protection locked="0"/>
    </xf>
    <xf numFmtId="185" fontId="1" fillId="7" borderId="13" xfId="93" applyNumberFormat="1" applyFont="1" applyFill="1" applyBorder="1" applyAlignment="1" applyProtection="1">
      <alignment vertical="center"/>
    </xf>
    <xf numFmtId="181" fontId="1" fillId="0" borderId="27" xfId="93" applyFont="1" applyFill="1" applyBorder="1" applyAlignment="1" applyProtection="1">
      <alignment horizontal="left" vertical="center"/>
    </xf>
    <xf numFmtId="181" fontId="1" fillId="0" borderId="44" xfId="93" applyFont="1" applyFill="1" applyBorder="1" applyAlignment="1" applyProtection="1">
      <alignment horizontal="left" vertical="center"/>
    </xf>
    <xf numFmtId="1" fontId="1" fillId="2" borderId="36" xfId="93" applyNumberFormat="1" applyFont="1" applyFill="1" applyBorder="1" applyAlignment="1" applyProtection="1">
      <alignment vertical="center"/>
      <protection locked="0"/>
    </xf>
    <xf numFmtId="2" fontId="1" fillId="2" borderId="4" xfId="93" applyNumberFormat="1" applyFont="1" applyFill="1" applyBorder="1" applyAlignment="1" applyProtection="1">
      <alignment vertical="center"/>
      <protection locked="0"/>
    </xf>
    <xf numFmtId="4" fontId="1" fillId="7" borderId="36" xfId="93" applyNumberFormat="1" applyFont="1" applyFill="1" applyBorder="1" applyAlignment="1" applyProtection="1">
      <alignment vertical="center"/>
      <protection locked="0"/>
    </xf>
    <xf numFmtId="4" fontId="1" fillId="7" borderId="28" xfId="93" applyNumberFormat="1" applyFont="1" applyFill="1" applyBorder="1" applyAlignment="1" applyProtection="1">
      <alignment vertical="center"/>
      <protection locked="0"/>
    </xf>
    <xf numFmtId="185" fontId="1" fillId="7" borderId="36" xfId="93" applyNumberFormat="1" applyFont="1" applyFill="1" applyBorder="1" applyAlignment="1" applyProtection="1">
      <alignment vertical="center"/>
    </xf>
    <xf numFmtId="181" fontId="4" fillId="0" borderId="0" xfId="93" applyFont="1" applyFill="1" applyAlignment="1" applyProtection="1">
      <alignment horizontal="right" vertical="center"/>
    </xf>
    <xf numFmtId="2" fontId="1" fillId="7" borderId="45" xfId="93" applyNumberFormat="1" applyFont="1" applyFill="1" applyBorder="1" applyAlignment="1" applyProtection="1">
      <alignment vertical="center"/>
    </xf>
    <xf numFmtId="4" fontId="4" fillId="7" borderId="25" xfId="93" applyNumberFormat="1" applyFont="1" applyFill="1" applyBorder="1" applyAlignment="1" applyProtection="1">
      <alignment vertical="center"/>
      <protection locked="0"/>
    </xf>
    <xf numFmtId="4" fontId="4" fillId="7" borderId="0" xfId="93" applyNumberFormat="1" applyFont="1" applyFill="1" applyBorder="1" applyAlignment="1" applyProtection="1">
      <alignment vertical="center"/>
      <protection locked="0"/>
    </xf>
    <xf numFmtId="4" fontId="1" fillId="0" borderId="0" xfId="93" applyNumberFormat="1" applyFont="1" applyFill="1" applyAlignment="1" applyProtection="1">
      <alignment vertical="center"/>
    </xf>
    <xf numFmtId="4" fontId="21" fillId="0" borderId="0" xfId="93" applyNumberFormat="1" applyFont="1" applyFill="1" applyAlignment="1" applyProtection="1">
      <alignment horizontal="center" vertical="center"/>
    </xf>
    <xf numFmtId="181" fontId="21" fillId="0" borderId="43" xfId="93" applyFont="1" applyFill="1" applyBorder="1" applyAlignment="1" applyProtection="1">
      <alignment horizontal="left" vertical="center"/>
    </xf>
    <xf numFmtId="4" fontId="21" fillId="0" borderId="31" xfId="93" applyNumberFormat="1" applyFont="1" applyFill="1" applyBorder="1" applyAlignment="1" applyProtection="1">
      <alignment horizontal="center" vertical="center"/>
    </xf>
    <xf numFmtId="4" fontId="4" fillId="0" borderId="31" xfId="93" applyNumberFormat="1" applyFont="1" applyFill="1" applyBorder="1" applyAlignment="1" applyProtection="1">
      <alignment horizontal="center" vertical="center"/>
    </xf>
    <xf numFmtId="4" fontId="21" fillId="0" borderId="46" xfId="93" applyNumberFormat="1" applyFont="1" applyFill="1" applyBorder="1" applyAlignment="1" applyProtection="1">
      <alignment horizontal="center" vertical="center"/>
    </xf>
    <xf numFmtId="181" fontId="1" fillId="0" borderId="47" xfId="93" applyFont="1" applyFill="1" applyBorder="1" applyAlignment="1" applyProtection="1">
      <alignment horizontal="left" vertical="center" wrapText="1"/>
    </xf>
    <xf numFmtId="181" fontId="1" fillId="0" borderId="15" xfId="93" applyFont="1" applyFill="1" applyBorder="1" applyAlignment="1" applyProtection="1">
      <alignment horizontal="left" vertical="center" wrapText="1"/>
    </xf>
    <xf numFmtId="181" fontId="1" fillId="0" borderId="5" xfId="93" applyFont="1" applyFill="1" applyBorder="1" applyAlignment="1" applyProtection="1">
      <alignment horizontal="left" vertical="center" wrapText="1"/>
    </xf>
    <xf numFmtId="2" fontId="1" fillId="2" borderId="3" xfId="93" applyNumberFormat="1" applyFont="1" applyFill="1" applyBorder="1" applyAlignment="1" applyProtection="1">
      <alignment horizontal="right" vertical="center"/>
      <protection locked="0"/>
    </xf>
    <xf numFmtId="4" fontId="1" fillId="3" borderId="3" xfId="93" applyNumberFormat="1" applyFont="1" applyFill="1" applyBorder="1" applyAlignment="1" applyProtection="1">
      <alignment vertical="center"/>
      <protection locked="0"/>
    </xf>
    <xf numFmtId="4" fontId="1" fillId="7" borderId="6" xfId="93" applyNumberFormat="1" applyFont="1" applyFill="1" applyBorder="1" applyAlignment="1" applyProtection="1">
      <alignment vertical="center"/>
      <protection locked="0"/>
    </xf>
    <xf numFmtId="181" fontId="1" fillId="7" borderId="13" xfId="93" applyFont="1" applyFill="1" applyBorder="1" applyAlignment="1" applyProtection="1">
      <alignment horizontal="center" vertical="center"/>
    </xf>
    <xf numFmtId="181" fontId="1" fillId="0" borderId="20" xfId="93" applyFont="1" applyFill="1" applyBorder="1" applyAlignment="1" applyProtection="1">
      <alignment horizontal="left" vertical="center" wrapText="1"/>
    </xf>
    <xf numFmtId="181" fontId="1" fillId="0" borderId="12" xfId="93" applyFont="1" applyFill="1" applyBorder="1" applyAlignment="1" applyProtection="1">
      <alignment horizontal="left" vertical="center" wrapText="1"/>
    </xf>
    <xf numFmtId="181" fontId="1" fillId="0" borderId="11" xfId="93" applyFont="1" applyFill="1" applyBorder="1" applyAlignment="1" applyProtection="1">
      <alignment horizontal="left" vertical="center" wrapText="1"/>
    </xf>
    <xf numFmtId="2" fontId="1" fillId="2" borderId="9" xfId="93" applyNumberFormat="1" applyFont="1" applyFill="1" applyBorder="1" applyAlignment="1" applyProtection="1">
      <alignment horizontal="right" vertical="center"/>
      <protection locked="0"/>
    </xf>
    <xf numFmtId="4" fontId="1" fillId="3" borderId="13" xfId="93" applyNumberFormat="1" applyFont="1" applyFill="1" applyBorder="1" applyAlignment="1" applyProtection="1">
      <alignment vertical="center"/>
      <protection locked="0"/>
    </xf>
    <xf numFmtId="181" fontId="1" fillId="0" borderId="14" xfId="93" applyFont="1" applyFill="1" applyBorder="1" applyAlignment="1" applyProtection="1">
      <alignment horizontal="left" vertical="center"/>
    </xf>
    <xf numFmtId="4" fontId="4" fillId="0" borderId="3" xfId="93" applyNumberFormat="1" applyFont="1" applyFill="1" applyBorder="1" applyAlignment="1" applyProtection="1">
      <alignment vertical="center"/>
    </xf>
    <xf numFmtId="2" fontId="1" fillId="2" borderId="13" xfId="93" applyNumberFormat="1" applyFont="1" applyFill="1" applyBorder="1" applyAlignment="1" applyProtection="1">
      <alignment vertical="center"/>
      <protection locked="0"/>
    </xf>
    <xf numFmtId="181" fontId="1" fillId="7" borderId="36" xfId="93" applyFont="1" applyFill="1" applyBorder="1" applyAlignment="1" applyProtection="1">
      <alignment horizontal="center" vertical="center"/>
    </xf>
    <xf numFmtId="181" fontId="1" fillId="0" borderId="28" xfId="93" applyFont="1" applyFill="1" applyBorder="1" applyAlignment="1" applyProtection="1">
      <alignment horizontal="left" vertical="center"/>
    </xf>
    <xf numFmtId="2" fontId="1" fillId="2" borderId="48" xfId="93" applyNumberFormat="1" applyFont="1" applyFill="1" applyBorder="1" applyAlignment="1" applyProtection="1">
      <alignment vertical="center"/>
      <protection locked="0"/>
    </xf>
    <xf numFmtId="4" fontId="1" fillId="3" borderId="2" xfId="93" applyNumberFormat="1" applyFont="1" applyFill="1" applyBorder="1" applyAlignment="1" applyProtection="1">
      <alignment vertical="center"/>
      <protection locked="0"/>
    </xf>
    <xf numFmtId="4" fontId="1" fillId="7" borderId="0" xfId="93" applyNumberFormat="1" applyFont="1" applyFill="1" applyAlignment="1" applyProtection="1">
      <alignment vertical="center"/>
      <protection locked="0"/>
    </xf>
    <xf numFmtId="4" fontId="4" fillId="7" borderId="40" xfId="93" applyNumberFormat="1" applyFont="1" applyFill="1" applyBorder="1" applyAlignment="1" applyProtection="1">
      <alignment vertical="center"/>
    </xf>
    <xf numFmtId="4" fontId="4" fillId="7" borderId="0" xfId="93" applyNumberFormat="1" applyFont="1" applyFill="1" applyAlignment="1" applyProtection="1">
      <alignment vertical="center"/>
    </xf>
    <xf numFmtId="4" fontId="1" fillId="7" borderId="49" xfId="93" applyNumberFormat="1" applyFont="1" applyFill="1" applyBorder="1" applyAlignment="1" applyProtection="1">
      <alignment vertical="center"/>
    </xf>
    <xf numFmtId="181" fontId="4" fillId="0" borderId="41" xfId="93" applyFont="1" applyFill="1" applyBorder="1" applyAlignment="1" applyProtection="1">
      <alignment horizontal="left" vertical="center"/>
    </xf>
    <xf numFmtId="181" fontId="4" fillId="0" borderId="43" xfId="93" applyFont="1" applyFill="1" applyBorder="1" applyAlignment="1" applyProtection="1">
      <alignment horizontal="left" vertical="center"/>
    </xf>
    <xf numFmtId="181" fontId="4" fillId="0" borderId="42" xfId="93" applyFont="1" applyFill="1" applyBorder="1" applyAlignment="1" applyProtection="1">
      <alignment horizontal="left" vertical="center"/>
    </xf>
    <xf numFmtId="4" fontId="1" fillId="0" borderId="42" xfId="93" applyNumberFormat="1" applyFont="1" applyFill="1" applyBorder="1" applyAlignment="1" applyProtection="1">
      <alignment horizontal="center" vertical="center"/>
    </xf>
    <xf numFmtId="4" fontId="4" fillId="0" borderId="31" xfId="93" applyNumberFormat="1" applyFont="1" applyFill="1" applyBorder="1" applyAlignment="1" applyProtection="1">
      <alignment vertical="center"/>
    </xf>
    <xf numFmtId="4" fontId="1" fillId="0" borderId="46" xfId="93" applyNumberFormat="1" applyFont="1" applyFill="1" applyBorder="1" applyAlignment="1" applyProtection="1">
      <alignment horizontal="center" vertical="center"/>
    </xf>
    <xf numFmtId="181" fontId="21" fillId="0" borderId="31" xfId="93" applyFont="1" applyFill="1" applyBorder="1" applyAlignment="1" applyProtection="1">
      <alignment vertical="center"/>
    </xf>
    <xf numFmtId="4" fontId="1" fillId="2" borderId="13" xfId="93" applyNumberFormat="1" applyFont="1" applyFill="1" applyBorder="1" applyAlignment="1" applyProtection="1">
      <alignment vertical="center"/>
    </xf>
    <xf numFmtId="4" fontId="4" fillId="3" borderId="13" xfId="93" applyNumberFormat="1" applyFont="1" applyFill="1" applyBorder="1" applyAlignment="1" applyProtection="1">
      <alignment vertical="center"/>
      <protection locked="0"/>
    </xf>
    <xf numFmtId="4" fontId="4" fillId="7" borderId="6" xfId="93" applyNumberFormat="1" applyFont="1" applyFill="1" applyBorder="1" applyAlignment="1" applyProtection="1">
      <alignment vertical="center"/>
      <protection locked="0"/>
    </xf>
    <xf numFmtId="4" fontId="1" fillId="7" borderId="13" xfId="93" applyNumberFormat="1" applyFont="1" applyFill="1" applyBorder="1" applyAlignment="1" applyProtection="1">
      <alignment vertical="center"/>
    </xf>
    <xf numFmtId="4" fontId="1" fillId="7" borderId="3" xfId="93" applyNumberFormat="1" applyFont="1" applyFill="1" applyBorder="1" applyAlignment="1" applyProtection="1">
      <alignment vertical="center"/>
    </xf>
    <xf numFmtId="4" fontId="4" fillId="7" borderId="8" xfId="93" applyNumberFormat="1" applyFont="1" applyFill="1" applyBorder="1" applyAlignment="1" applyProtection="1">
      <alignment vertical="center"/>
      <protection locked="0"/>
    </xf>
    <xf numFmtId="4" fontId="4" fillId="0" borderId="36" xfId="93" applyNumberFormat="1" applyFont="1" applyFill="1" applyBorder="1" applyAlignment="1" applyProtection="1">
      <alignment vertical="center"/>
    </xf>
    <xf numFmtId="4" fontId="4" fillId="7" borderId="40" xfId="93" applyNumberFormat="1" applyFont="1" applyFill="1" applyBorder="1" applyAlignment="1" applyProtection="1">
      <alignment vertical="center"/>
      <protection locked="0"/>
    </xf>
    <xf numFmtId="4" fontId="4" fillId="0" borderId="0" xfId="93" applyNumberFormat="1" applyFont="1" applyFill="1" applyAlignment="1" applyProtection="1">
      <alignment vertical="center"/>
    </xf>
    <xf numFmtId="4" fontId="4" fillId="7" borderId="0" xfId="93" applyNumberFormat="1" applyFont="1" applyFill="1" applyAlignment="1" applyProtection="1">
      <alignment vertical="center"/>
      <protection locked="0"/>
    </xf>
    <xf numFmtId="181" fontId="1" fillId="7" borderId="35" xfId="93" applyFont="1" applyFill="1" applyBorder="1" applyAlignment="1" applyProtection="1">
      <alignment horizontal="center" vertical="center"/>
    </xf>
    <xf numFmtId="4" fontId="21" fillId="7" borderId="0" xfId="93" applyNumberFormat="1" applyFont="1" applyFill="1" applyAlignment="1" applyProtection="1">
      <alignment horizontal="center" vertical="center"/>
      <protection locked="0"/>
    </xf>
    <xf numFmtId="181" fontId="4" fillId="0" borderId="0" xfId="93" applyFont="1" applyFill="1" applyBorder="1" applyAlignment="1" applyProtection="1">
      <alignment vertical="center"/>
      <protection locked="0"/>
    </xf>
    <xf numFmtId="181" fontId="4" fillId="0" borderId="50" xfId="93" applyFont="1" applyFill="1" applyBorder="1" applyAlignment="1" applyProtection="1">
      <alignment horizontal="left" vertical="center"/>
    </xf>
    <xf numFmtId="4" fontId="1" fillId="7" borderId="2" xfId="93" applyNumberFormat="1" applyFont="1" applyFill="1" applyBorder="1" applyAlignment="1" applyProtection="1">
      <alignment vertical="center"/>
      <protection locked="0"/>
    </xf>
    <xf numFmtId="2" fontId="1" fillId="2" borderId="34" xfId="93" applyNumberFormat="1" applyFont="1" applyFill="1" applyBorder="1" applyAlignment="1" applyProtection="1">
      <alignment vertical="center"/>
      <protection locked="0"/>
    </xf>
    <xf numFmtId="4" fontId="4" fillId="3" borderId="2" xfId="93" applyNumberFormat="1" applyFont="1" applyFill="1" applyBorder="1" applyAlignment="1" applyProtection="1">
      <alignment vertical="center"/>
      <protection locked="0"/>
    </xf>
    <xf numFmtId="2" fontId="1" fillId="7" borderId="34" xfId="93" applyNumberFormat="1" applyFont="1" applyFill="1" applyBorder="1" applyAlignment="1" applyProtection="1">
      <alignment vertical="center"/>
    </xf>
    <xf numFmtId="2" fontId="1" fillId="7" borderId="37" xfId="93" applyNumberFormat="1" applyFont="1" applyFill="1" applyBorder="1" applyAlignment="1" applyProtection="1">
      <alignment vertical="center"/>
    </xf>
    <xf numFmtId="4" fontId="4" fillId="7" borderId="2" xfId="93" applyNumberFormat="1" applyFont="1" applyFill="1" applyBorder="1" applyAlignment="1" applyProtection="1">
      <alignment vertical="center"/>
      <protection locked="0"/>
    </xf>
    <xf numFmtId="181" fontId="1" fillId="0" borderId="0" xfId="93" applyFont="1" applyFill="1" applyBorder="1" applyAlignment="1" applyProtection="1">
      <alignment vertical="center"/>
    </xf>
    <xf numFmtId="0" fontId="1" fillId="0" borderId="0" xfId="0" applyFont="1" applyAlignment="1" applyProtection="1">
      <alignment vertical="center"/>
    </xf>
    <xf numFmtId="181" fontId="4" fillId="0" borderId="0" xfId="93" applyFont="1" applyFill="1" applyBorder="1" applyAlignment="1" applyProtection="1">
      <alignment vertical="center"/>
    </xf>
    <xf numFmtId="181" fontId="22" fillId="7" borderId="0" xfId="93" applyFont="1" applyFill="1" applyAlignment="1" applyProtection="1">
      <alignment vertical="center"/>
    </xf>
    <xf numFmtId="181" fontId="23" fillId="0" borderId="0" xfId="93" applyFont="1" applyFill="1" applyBorder="1" applyAlignment="1" applyProtection="1">
      <alignment horizontal="left" vertical="center"/>
    </xf>
    <xf numFmtId="181" fontId="7" fillId="0" borderId="0" xfId="93" applyFont="1" applyFill="1" applyAlignment="1" applyProtection="1">
      <alignment horizontal="left" vertical="center"/>
    </xf>
    <xf numFmtId="181" fontId="1" fillId="7" borderId="0" xfId="93" applyFont="1" applyFill="1" applyAlignment="1" applyProtection="1">
      <alignment vertical="center"/>
      <protection locked="0"/>
    </xf>
    <xf numFmtId="181" fontId="1" fillId="0" borderId="0" xfId="93" applyFont="1" applyFill="1" applyBorder="1" applyAlignment="1" applyProtection="1">
      <alignment vertical="center"/>
      <protection locked="0"/>
    </xf>
    <xf numFmtId="181" fontId="1" fillId="0" borderId="14" xfId="93" applyFont="1" applyFill="1" applyBorder="1" applyAlignment="1" applyProtection="1">
      <alignment vertical="center"/>
    </xf>
    <xf numFmtId="181" fontId="4" fillId="0" borderId="0" xfId="93" applyFont="1" applyFill="1" applyAlignment="1" applyProtection="1">
      <alignment vertical="center"/>
      <protection locked="0"/>
    </xf>
    <xf numFmtId="181" fontId="7" fillId="0" borderId="0" xfId="93" applyFont="1" applyFill="1" applyAlignment="1" applyProtection="1">
      <alignment vertical="center"/>
    </xf>
    <xf numFmtId="181" fontId="7" fillId="0" borderId="0" xfId="93" applyFont="1" applyFill="1" applyBorder="1" applyAlignment="1" applyProtection="1">
      <alignment vertical="center"/>
    </xf>
    <xf numFmtId="181" fontId="7" fillId="0" borderId="0" xfId="93" applyFont="1" applyFill="1" applyBorder="1" applyAlignment="1" applyProtection="1">
      <alignment horizontal="left" vertical="center"/>
    </xf>
    <xf numFmtId="181" fontId="24" fillId="0" borderId="0" xfId="93" applyFont="1" applyFill="1" applyBorder="1" applyAlignment="1" applyProtection="1">
      <alignment vertical="center"/>
      <protection locked="0"/>
    </xf>
    <xf numFmtId="181" fontId="24" fillId="0" borderId="12" xfId="93" applyFont="1" applyFill="1" applyBorder="1" applyAlignment="1" applyProtection="1">
      <alignment vertical="center"/>
    </xf>
    <xf numFmtId="181" fontId="1" fillId="0" borderId="12" xfId="93" applyFont="1" applyFill="1" applyBorder="1" applyAlignment="1" applyProtection="1">
      <alignment vertical="center"/>
    </xf>
    <xf numFmtId="181" fontId="25" fillId="0" borderId="0" xfId="93" applyFont="1" applyFill="1" applyAlignment="1" applyProtection="1">
      <alignment vertical="center"/>
    </xf>
    <xf numFmtId="181" fontId="22" fillId="0" borderId="0" xfId="93" applyFont="1" applyFill="1" applyAlignment="1" applyProtection="1">
      <alignment vertical="center"/>
      <protection locked="0"/>
    </xf>
    <xf numFmtId="181" fontId="22" fillId="0" borderId="0" xfId="93" applyFont="1" applyFill="1" applyBorder="1" applyAlignment="1" applyProtection="1">
      <alignment vertical="center"/>
    </xf>
    <xf numFmtId="181" fontId="17" fillId="0" borderId="0" xfId="93" applyFont="1" applyFill="1" applyBorder="1" applyAlignment="1" applyProtection="1">
      <alignment horizontal="right" vertical="center"/>
    </xf>
    <xf numFmtId="181" fontId="22" fillId="0" borderId="0" xfId="93" applyFont="1" applyFill="1" applyProtection="1"/>
    <xf numFmtId="181" fontId="22" fillId="0" borderId="0" xfId="93" applyFont="1" applyFill="1" applyAlignment="1" applyProtection="1">
      <alignment horizontal="center"/>
    </xf>
    <xf numFmtId="181" fontId="1" fillId="0" borderId="0" xfId="93" applyFont="1" applyFill="1" applyAlignment="1" applyProtection="1">
      <alignment horizontal="center" vertical="center"/>
    </xf>
    <xf numFmtId="181" fontId="21" fillId="0" borderId="32" xfId="93" applyFont="1" applyFill="1" applyBorder="1" applyAlignment="1" applyProtection="1">
      <alignment horizontal="center" vertical="center"/>
    </xf>
    <xf numFmtId="181" fontId="22" fillId="0" borderId="0" xfId="93" applyFont="1" applyFill="1" applyAlignment="1" applyProtection="1">
      <alignment vertical="center"/>
    </xf>
    <xf numFmtId="181" fontId="1" fillId="0" borderId="13" xfId="93" applyFont="1" applyFill="1" applyBorder="1" applyAlignment="1" applyProtection="1">
      <alignment horizontal="center" vertical="center"/>
    </xf>
    <xf numFmtId="185" fontId="1" fillId="7" borderId="34" xfId="93" applyNumberFormat="1" applyFont="1" applyFill="1" applyBorder="1" applyAlignment="1" applyProtection="1">
      <alignment vertical="center"/>
    </xf>
    <xf numFmtId="181" fontId="26" fillId="0" borderId="0" xfId="93" applyFont="1" applyFill="1" applyAlignment="1" applyProtection="1">
      <alignment vertical="center"/>
    </xf>
    <xf numFmtId="181" fontId="4" fillId="0" borderId="46" xfId="93" applyFont="1" applyFill="1" applyBorder="1" applyAlignment="1" applyProtection="1">
      <alignment horizontal="center" vertical="center" textRotation="90" wrapText="1"/>
    </xf>
    <xf numFmtId="181" fontId="4" fillId="0" borderId="51" xfId="93" applyFont="1" applyFill="1" applyBorder="1" applyAlignment="1" applyProtection="1">
      <alignment horizontal="center" vertical="center" textRotation="90" wrapText="1"/>
    </xf>
    <xf numFmtId="181" fontId="4" fillId="0" borderId="6" xfId="93" applyFont="1" applyFill="1" applyBorder="1" applyAlignment="1" applyProtection="1">
      <alignment horizontal="center" vertical="center" textRotation="90"/>
    </xf>
    <xf numFmtId="181" fontId="4" fillId="0" borderId="52" xfId="93" applyFont="1" applyFill="1" applyBorder="1" applyAlignment="1" applyProtection="1">
      <alignment horizontal="center" vertical="center" textRotation="90"/>
    </xf>
    <xf numFmtId="181" fontId="19" fillId="0" borderId="0" xfId="93" applyFont="1" applyFill="1" applyBorder="1" applyAlignment="1" applyProtection="1">
      <alignment horizontal="left" vertical="center" wrapText="1"/>
    </xf>
    <xf numFmtId="181" fontId="19" fillId="0" borderId="8" xfId="93" applyFont="1" applyFill="1" applyBorder="1" applyAlignment="1" applyProtection="1">
      <alignment horizontal="left" vertical="center" wrapText="1"/>
    </xf>
    <xf numFmtId="181" fontId="1" fillId="0" borderId="36" xfId="93" applyFont="1" applyFill="1" applyBorder="1" applyAlignment="1" applyProtection="1">
      <alignment horizontal="center" vertical="center"/>
    </xf>
    <xf numFmtId="185" fontId="1" fillId="7" borderId="37" xfId="93" applyNumberFormat="1" applyFont="1" applyFill="1" applyBorder="1" applyAlignment="1" applyProtection="1">
      <alignment vertical="center"/>
    </xf>
    <xf numFmtId="181" fontId="1" fillId="7" borderId="45" xfId="93" applyNumberFormat="1" applyFont="1" applyFill="1" applyBorder="1" applyAlignment="1" applyProtection="1">
      <alignment horizontal="center" vertical="center"/>
    </xf>
    <xf numFmtId="181" fontId="19" fillId="0" borderId="24" xfId="93" applyFont="1" applyFill="1" applyBorder="1" applyAlignment="1" applyProtection="1">
      <alignment horizontal="left" vertical="center" wrapText="1"/>
    </xf>
    <xf numFmtId="181" fontId="19" fillId="0" borderId="53" xfId="93" applyFont="1" applyFill="1" applyBorder="1" applyAlignment="1" applyProtection="1">
      <alignment horizontal="left" vertical="center" wrapText="1"/>
    </xf>
    <xf numFmtId="181" fontId="4" fillId="0" borderId="54" xfId="93" applyFont="1" applyFill="1" applyBorder="1" applyAlignment="1" applyProtection="1">
      <alignment horizontal="center" vertical="center" textRotation="90"/>
    </xf>
    <xf numFmtId="181" fontId="4" fillId="0" borderId="46" xfId="93" applyFont="1" applyFill="1" applyBorder="1" applyAlignment="1" applyProtection="1">
      <alignment horizontal="center" vertical="center" wrapText="1"/>
    </xf>
    <xf numFmtId="181" fontId="22" fillId="0" borderId="0" xfId="93" applyFont="1" applyFill="1" applyAlignment="1" applyProtection="1">
      <alignment horizontal="center" vertical="center"/>
    </xf>
    <xf numFmtId="181" fontId="4" fillId="0" borderId="55" xfId="93" applyFont="1" applyFill="1" applyBorder="1" applyAlignment="1" applyProtection="1">
      <alignment horizontal="center" vertical="center" textRotation="90"/>
    </xf>
    <xf numFmtId="181" fontId="4" fillId="0" borderId="6" xfId="93" applyFont="1" applyFill="1" applyBorder="1" applyAlignment="1" applyProtection="1">
      <alignment horizontal="center" vertical="center" wrapText="1"/>
    </xf>
    <xf numFmtId="181" fontId="4" fillId="0" borderId="9" xfId="93" applyFont="1" applyFill="1" applyBorder="1" applyAlignment="1" applyProtection="1">
      <alignment horizontal="center" vertical="center" wrapText="1"/>
    </xf>
    <xf numFmtId="181" fontId="4" fillId="0" borderId="9" xfId="93" applyFont="1" applyFill="1" applyBorder="1" applyAlignment="1" applyProtection="1">
      <alignment horizontal="center" vertical="center" textRotation="90"/>
    </xf>
    <xf numFmtId="181" fontId="4" fillId="0" borderId="56" xfId="93" applyFont="1" applyFill="1" applyBorder="1" applyAlignment="1" applyProtection="1">
      <alignment horizontal="center" vertical="center" textRotation="90"/>
    </xf>
    <xf numFmtId="185" fontId="21" fillId="7" borderId="13" xfId="93" applyNumberFormat="1" applyFont="1" applyFill="1" applyBorder="1" applyAlignment="1" applyProtection="1">
      <alignment horizontal="center" vertical="center"/>
    </xf>
    <xf numFmtId="49" fontId="1" fillId="7" borderId="34" xfId="93" applyNumberFormat="1" applyFont="1" applyFill="1" applyBorder="1" applyAlignment="1" applyProtection="1">
      <alignment horizontal="center" vertical="center"/>
    </xf>
    <xf numFmtId="181" fontId="1" fillId="0" borderId="6" xfId="93" applyFont="1" applyFill="1" applyBorder="1" applyAlignment="1" applyProtection="1">
      <alignment vertical="center"/>
    </xf>
    <xf numFmtId="186" fontId="1" fillId="0" borderId="6" xfId="93" applyNumberFormat="1" applyFont="1" applyFill="1" applyBorder="1" applyAlignment="1" applyProtection="1">
      <alignment horizontal="right" vertical="center"/>
    </xf>
    <xf numFmtId="186" fontId="1" fillId="0" borderId="34" xfId="93" applyNumberFormat="1" applyFont="1" applyFill="1" applyBorder="1" applyAlignment="1" applyProtection="1">
      <alignment horizontal="right" vertical="center"/>
    </xf>
    <xf numFmtId="181" fontId="1" fillId="7" borderId="34" xfId="93" applyFont="1" applyFill="1" applyBorder="1" applyAlignment="1" applyProtection="1">
      <alignment horizontal="center" vertical="center"/>
    </xf>
    <xf numFmtId="181" fontId="1" fillId="0" borderId="13" xfId="93" applyFont="1" applyFill="1" applyBorder="1" applyAlignment="1" applyProtection="1">
      <alignment vertical="center"/>
    </xf>
    <xf numFmtId="186" fontId="1" fillId="0" borderId="13" xfId="93" applyNumberFormat="1" applyFont="1" applyFill="1" applyBorder="1" applyAlignment="1" applyProtection="1">
      <alignment horizontal="right" vertical="center"/>
    </xf>
    <xf numFmtId="181" fontId="1" fillId="0" borderId="9" xfId="93" applyFont="1" applyFill="1" applyBorder="1" applyAlignment="1" applyProtection="1">
      <alignment vertical="center"/>
    </xf>
    <xf numFmtId="186" fontId="1" fillId="0" borderId="9" xfId="93" applyNumberFormat="1" applyFont="1" applyFill="1" applyBorder="1" applyAlignment="1" applyProtection="1">
      <alignment horizontal="right" vertical="center"/>
    </xf>
    <xf numFmtId="186" fontId="1" fillId="0" borderId="56" xfId="93" applyNumberFormat="1" applyFont="1" applyFill="1" applyBorder="1" applyAlignment="1" applyProtection="1">
      <alignment horizontal="right" vertical="center"/>
    </xf>
    <xf numFmtId="185" fontId="21" fillId="7" borderId="36" xfId="93" applyNumberFormat="1" applyFont="1" applyFill="1" applyBorder="1" applyAlignment="1" applyProtection="1">
      <alignment horizontal="center" vertical="center"/>
    </xf>
    <xf numFmtId="181" fontId="1" fillId="7" borderId="37" xfId="93" applyFont="1" applyFill="1" applyBorder="1" applyAlignment="1" applyProtection="1">
      <alignment horizontal="center" vertical="center"/>
    </xf>
    <xf numFmtId="181" fontId="1" fillId="7" borderId="45" xfId="93" applyFont="1" applyFill="1" applyBorder="1" applyAlignment="1" applyProtection="1">
      <alignment horizontal="center" vertical="center"/>
    </xf>
    <xf numFmtId="181" fontId="4" fillId="0" borderId="57" xfId="93" applyFont="1" applyFill="1" applyBorder="1" applyAlignment="1" applyProtection="1">
      <alignment horizontal="center" vertical="center" textRotation="90"/>
    </xf>
    <xf numFmtId="181" fontId="1" fillId="0" borderId="58" xfId="93" applyFont="1" applyFill="1" applyBorder="1" applyAlignment="1" applyProtection="1">
      <alignment vertical="center"/>
    </xf>
    <xf numFmtId="186" fontId="1" fillId="0" borderId="58" xfId="93" applyNumberFormat="1" applyFont="1" applyFill="1" applyBorder="1" applyAlignment="1" applyProtection="1">
      <alignment horizontal="right" vertical="center"/>
    </xf>
    <xf numFmtId="186" fontId="1" fillId="0" borderId="59" xfId="93" applyNumberFormat="1" applyFont="1" applyFill="1" applyBorder="1" applyAlignment="1" applyProtection="1">
      <alignment horizontal="right" vertical="center"/>
    </xf>
    <xf numFmtId="181" fontId="21" fillId="0" borderId="32" xfId="93" applyFont="1" applyFill="1" applyBorder="1" applyAlignment="1" applyProtection="1">
      <alignment vertical="center"/>
    </xf>
    <xf numFmtId="181" fontId="27" fillId="0" borderId="24" xfId="93" applyFont="1" applyFill="1" applyBorder="1" applyAlignment="1" applyProtection="1">
      <alignment horizontal="left" vertical="center"/>
    </xf>
    <xf numFmtId="181" fontId="21" fillId="7" borderId="13" xfId="93" applyFont="1" applyFill="1" applyBorder="1" applyAlignment="1" applyProtection="1">
      <alignment horizontal="center" vertical="center"/>
    </xf>
    <xf numFmtId="181" fontId="28" fillId="2" borderId="54" xfId="93" applyFont="1" applyFill="1" applyBorder="1" applyAlignment="1" applyProtection="1">
      <alignment horizontal="center" vertical="center"/>
      <protection locked="0"/>
    </xf>
    <xf numFmtId="181" fontId="1" fillId="0" borderId="60" xfId="93" applyFont="1" applyFill="1" applyBorder="1" applyAlignment="1" applyProtection="1">
      <alignment horizontal="left" vertical="center"/>
    </xf>
    <xf numFmtId="181" fontId="1" fillId="0" borderId="43" xfId="93" applyFont="1" applyFill="1" applyBorder="1" applyAlignment="1" applyProtection="1">
      <alignment horizontal="left" vertical="center"/>
    </xf>
    <xf numFmtId="181" fontId="1" fillId="0" borderId="50" xfId="93" applyFont="1" applyFill="1" applyBorder="1" applyAlignment="1" applyProtection="1">
      <alignment horizontal="left" vertical="center"/>
    </xf>
    <xf numFmtId="181" fontId="28" fillId="2" borderId="33" xfId="93" applyFont="1" applyFill="1" applyBorder="1" applyAlignment="1" applyProtection="1">
      <alignment horizontal="center" vertical="center"/>
      <protection locked="0"/>
    </xf>
    <xf numFmtId="181" fontId="1" fillId="0" borderId="1" xfId="93" applyFont="1" applyFill="1" applyBorder="1" applyAlignment="1" applyProtection="1">
      <alignment horizontal="left" vertical="center"/>
    </xf>
    <xf numFmtId="181" fontId="1" fillId="0" borderId="61" xfId="93" applyFont="1" applyFill="1" applyBorder="1" applyAlignment="1" applyProtection="1">
      <alignment horizontal="left" vertical="center"/>
    </xf>
    <xf numFmtId="181" fontId="22" fillId="0" borderId="1" xfId="93" applyFont="1" applyFill="1" applyBorder="1" applyAlignment="1" applyProtection="1">
      <alignment horizontal="left" vertical="center"/>
    </xf>
    <xf numFmtId="181" fontId="22" fillId="0" borderId="14" xfId="93" applyFont="1" applyFill="1" applyBorder="1" applyAlignment="1" applyProtection="1">
      <alignment horizontal="left" vertical="center"/>
    </xf>
    <xf numFmtId="181" fontId="22" fillId="0" borderId="61" xfId="93" applyFont="1" applyFill="1" applyBorder="1" applyAlignment="1" applyProtection="1">
      <alignment horizontal="left" vertical="center"/>
    </xf>
    <xf numFmtId="181" fontId="28" fillId="2" borderId="35" xfId="93" applyFont="1" applyFill="1" applyBorder="1" applyAlignment="1" applyProtection="1">
      <alignment horizontal="center" vertical="center"/>
      <protection locked="0"/>
    </xf>
    <xf numFmtId="181" fontId="1" fillId="0" borderId="62" xfId="93" applyFont="1" applyFill="1" applyBorder="1" applyAlignment="1" applyProtection="1">
      <alignment horizontal="left" vertical="center"/>
    </xf>
    <xf numFmtId="181" fontId="1" fillId="0" borderId="63" xfId="93" applyFont="1" applyFill="1" applyBorder="1" applyAlignment="1" applyProtection="1">
      <alignment horizontal="left" vertical="center"/>
    </xf>
    <xf numFmtId="181" fontId="21" fillId="7" borderId="36" xfId="93" applyFont="1" applyFill="1" applyBorder="1" applyAlignment="1" applyProtection="1">
      <alignment horizontal="center" vertical="center"/>
    </xf>
    <xf numFmtId="181" fontId="20" fillId="7" borderId="45" xfId="93" applyNumberFormat="1" applyFont="1" applyFill="1" applyBorder="1" applyAlignment="1" applyProtection="1">
      <alignment horizontal="center" vertical="center"/>
    </xf>
    <xf numFmtId="1" fontId="1" fillId="0" borderId="0" xfId="93" applyNumberFormat="1" applyFont="1" applyFill="1" applyAlignment="1" applyProtection="1">
      <alignment vertical="center"/>
    </xf>
    <xf numFmtId="181" fontId="1" fillId="0" borderId="0" xfId="93" applyFont="1" applyFill="1" applyBorder="1" applyAlignment="1" applyProtection="1">
      <alignment horizontal="center" vertical="center"/>
    </xf>
    <xf numFmtId="181" fontId="1" fillId="0" borderId="24" xfId="93" applyFont="1" applyFill="1" applyBorder="1" applyAlignment="1" applyProtection="1">
      <alignment horizontal="left" vertical="center"/>
    </xf>
    <xf numFmtId="181" fontId="1" fillId="0" borderId="38" xfId="93" applyFont="1" applyFill="1" applyBorder="1" applyAlignment="1" applyProtection="1">
      <alignment horizontal="left" vertical="center"/>
    </xf>
    <xf numFmtId="181" fontId="1" fillId="0" borderId="40" xfId="93" applyFont="1" applyFill="1" applyBorder="1" applyAlignment="1" applyProtection="1">
      <alignment horizontal="left" vertical="center"/>
    </xf>
    <xf numFmtId="181" fontId="22" fillId="6" borderId="64" xfId="93" applyFont="1" applyFill="1" applyBorder="1" applyAlignment="1" applyProtection="1">
      <alignment horizontal="center" vertical="center"/>
    </xf>
    <xf numFmtId="181" fontId="22" fillId="6" borderId="40" xfId="93" applyFont="1" applyFill="1" applyBorder="1" applyAlignment="1" applyProtection="1">
      <alignment horizontal="center" vertical="center"/>
    </xf>
    <xf numFmtId="181" fontId="1" fillId="0" borderId="39" xfId="93" applyFont="1" applyFill="1" applyBorder="1" applyAlignment="1" applyProtection="1">
      <alignment horizontal="left" vertical="center"/>
    </xf>
    <xf numFmtId="4" fontId="1" fillId="7" borderId="45" xfId="93" applyNumberFormat="1" applyFont="1" applyFill="1" applyBorder="1" applyAlignment="1" applyProtection="1">
      <alignment vertical="center"/>
    </xf>
    <xf numFmtId="181" fontId="1" fillId="0" borderId="18" xfId="93" applyFont="1" applyFill="1" applyBorder="1" applyAlignment="1" applyProtection="1">
      <alignment horizontal="left" vertical="center"/>
    </xf>
    <xf numFmtId="181" fontId="1" fillId="0" borderId="19" xfId="93" applyFont="1" applyFill="1" applyBorder="1" applyAlignment="1" applyProtection="1">
      <alignment horizontal="left" vertical="center"/>
    </xf>
    <xf numFmtId="4" fontId="1" fillId="6" borderId="45" xfId="93" applyNumberFormat="1" applyFont="1" applyFill="1" applyBorder="1" applyAlignment="1" applyProtection="1">
      <alignment vertical="center"/>
      <protection hidden="1"/>
    </xf>
    <xf numFmtId="181" fontId="20" fillId="0" borderId="17" xfId="93" applyFont="1" applyFill="1" applyBorder="1" applyAlignment="1" applyProtection="1">
      <alignment horizontal="left" vertical="center" wrapText="1"/>
    </xf>
    <xf numFmtId="181" fontId="20" fillId="0" borderId="29" xfId="93" applyFont="1" applyFill="1" applyBorder="1" applyAlignment="1" applyProtection="1">
      <alignment horizontal="left" vertical="center" wrapText="1"/>
    </xf>
    <xf numFmtId="181" fontId="1" fillId="0" borderId="42" xfId="93" applyFont="1" applyFill="1" applyBorder="1" applyAlignment="1" applyProtection="1">
      <alignment horizontal="left" vertical="center"/>
    </xf>
    <xf numFmtId="181" fontId="1" fillId="0" borderId="31" xfId="93" applyFont="1" applyFill="1" applyBorder="1" applyAlignment="1" applyProtection="1">
      <alignment vertical="center"/>
    </xf>
    <xf numFmtId="182" fontId="1" fillId="2" borderId="60" xfId="93" applyNumberFormat="1" applyFont="1" applyFill="1" applyBorder="1" applyAlignment="1" applyProtection="1">
      <alignment horizontal="right" vertical="center"/>
      <protection locked="0"/>
    </xf>
    <xf numFmtId="182" fontId="1" fillId="2" borderId="50" xfId="93" applyNumberFormat="1" applyFont="1" applyFill="1" applyBorder="1" applyAlignment="1" applyProtection="1">
      <alignment horizontal="right" vertical="center"/>
      <protection locked="0"/>
    </xf>
    <xf numFmtId="181" fontId="20" fillId="0" borderId="23" xfId="93" applyFont="1" applyFill="1" applyBorder="1" applyAlignment="1" applyProtection="1">
      <alignment horizontal="left" vertical="center" wrapText="1"/>
    </xf>
    <xf numFmtId="181" fontId="20" fillId="0" borderId="53" xfId="93" applyFont="1" applyFill="1" applyBorder="1" applyAlignment="1" applyProtection="1">
      <alignment horizontal="left" vertical="center" wrapText="1"/>
    </xf>
    <xf numFmtId="181" fontId="1" fillId="0" borderId="36" xfId="93" applyFont="1" applyFill="1" applyBorder="1" applyAlignment="1" applyProtection="1">
      <alignment vertical="center"/>
    </xf>
    <xf numFmtId="182" fontId="1" fillId="2" borderId="62" xfId="93" applyNumberFormat="1" applyFont="1" applyFill="1" applyBorder="1" applyAlignment="1" applyProtection="1">
      <alignment horizontal="right" vertical="center"/>
      <protection locked="0"/>
    </xf>
    <xf numFmtId="182" fontId="1" fillId="2" borderId="63" xfId="93" applyNumberFormat="1" applyFont="1" applyFill="1" applyBorder="1" applyAlignment="1" applyProtection="1">
      <alignment horizontal="right" vertical="center"/>
      <protection locked="0"/>
    </xf>
    <xf numFmtId="3" fontId="4" fillId="0" borderId="0" xfId="93" applyNumberFormat="1" applyFont="1" applyFill="1" applyAlignment="1" applyProtection="1">
      <alignment horizontal="right" vertical="center"/>
    </xf>
    <xf numFmtId="3" fontId="4" fillId="0" borderId="0" xfId="93" applyNumberFormat="1" applyFont="1" applyFill="1" applyBorder="1" applyAlignment="1" applyProtection="1">
      <alignment horizontal="right" vertical="center"/>
    </xf>
    <xf numFmtId="181" fontId="4" fillId="0" borderId="12" xfId="93" applyFont="1" applyFill="1" applyBorder="1" applyAlignment="1" applyProtection="1">
      <alignment vertical="center"/>
    </xf>
    <xf numFmtId="181" fontId="4" fillId="0" borderId="12" xfId="93" applyFont="1" applyFill="1" applyBorder="1" applyAlignment="1" applyProtection="1">
      <alignment horizontal="center" vertical="center"/>
    </xf>
    <xf numFmtId="181" fontId="4" fillId="0" borderId="0" xfId="93" applyFont="1" applyFill="1" applyBorder="1" applyAlignment="1" applyProtection="1">
      <alignment horizontal="right" vertical="center"/>
    </xf>
    <xf numFmtId="187" fontId="1" fillId="7" borderId="38" xfId="93" applyNumberFormat="1" applyFont="1" applyFill="1" applyBorder="1" applyAlignment="1" applyProtection="1">
      <alignment horizontal="right" vertical="center"/>
    </xf>
    <xf numFmtId="187" fontId="1" fillId="7" borderId="40" xfId="93" applyNumberFormat="1" applyFont="1" applyFill="1" applyBorder="1" applyAlignment="1" applyProtection="1">
      <alignment horizontal="right" vertical="center"/>
    </xf>
    <xf numFmtId="181" fontId="4" fillId="0" borderId="14" xfId="93" applyFont="1" applyFill="1" applyBorder="1" applyAlignment="1" applyProtection="1">
      <alignment vertical="center"/>
    </xf>
    <xf numFmtId="181" fontId="4" fillId="0" borderId="14" xfId="93" applyFont="1" applyFill="1" applyBorder="1" applyAlignment="1" applyProtection="1">
      <alignment horizontal="center" vertical="center"/>
    </xf>
    <xf numFmtId="40" fontId="4" fillId="0" borderId="0" xfId="93" applyNumberFormat="1" applyFont="1" applyFill="1" applyAlignment="1" applyProtection="1">
      <alignment horizontal="right" vertical="center"/>
    </xf>
    <xf numFmtId="177" fontId="1" fillId="7" borderId="45" xfId="3" applyFont="1" applyFill="1" applyBorder="1" applyAlignment="1" applyProtection="1">
      <alignment horizontal="center" vertical="center"/>
    </xf>
    <xf numFmtId="181" fontId="7" fillId="0" borderId="7" xfId="93" applyFont="1" applyFill="1" applyBorder="1" applyAlignment="1" applyProtection="1">
      <alignment vertical="center"/>
    </xf>
    <xf numFmtId="181" fontId="4" fillId="0" borderId="21" xfId="93" applyFont="1" applyFill="1" applyBorder="1" applyAlignment="1" applyProtection="1">
      <alignment vertical="center"/>
    </xf>
    <xf numFmtId="183" fontId="1" fillId="6" borderId="45" xfId="3" applyNumberFormat="1" applyFont="1" applyFill="1" applyBorder="1" applyAlignment="1" applyProtection="1">
      <alignment horizontal="center" vertical="center"/>
    </xf>
    <xf numFmtId="181" fontId="24" fillId="0" borderId="12" xfId="93" applyFont="1" applyFill="1" applyBorder="1" applyAlignment="1" applyProtection="1">
      <alignment horizontal="center" vertical="center"/>
    </xf>
    <xf numFmtId="181" fontId="24" fillId="0" borderId="0" xfId="93" applyFont="1" applyFill="1" applyBorder="1" applyAlignment="1" applyProtection="1">
      <alignment horizontal="right" vertical="center"/>
    </xf>
    <xf numFmtId="181" fontId="18" fillId="0" borderId="0" xfId="93" applyFont="1" applyFill="1" applyAlignment="1" applyProtection="1">
      <alignment vertical="center"/>
    </xf>
    <xf numFmtId="181" fontId="4" fillId="0" borderId="0" xfId="93" applyFont="1" applyFill="1" applyAlignment="1" applyProtection="1">
      <alignment horizontal="center" vertical="center"/>
    </xf>
    <xf numFmtId="182" fontId="1" fillId="2" borderId="38" xfId="93" applyNumberFormat="1" applyFont="1" applyFill="1" applyBorder="1" applyAlignment="1" applyProtection="1">
      <alignment horizontal="right" vertical="center"/>
      <protection locked="0"/>
    </xf>
    <xf numFmtId="182" fontId="1" fillId="2" borderId="40" xfId="93" applyNumberFormat="1" applyFont="1" applyFill="1" applyBorder="1" applyAlignment="1" applyProtection="1">
      <alignment horizontal="right" vertical="center"/>
      <protection locked="0"/>
    </xf>
    <xf numFmtId="181" fontId="22" fillId="0" borderId="0" xfId="93" applyFont="1" applyFill="1" applyAlignment="1" applyProtection="1">
      <alignment horizontal="right" vertical="center"/>
    </xf>
    <xf numFmtId="181" fontId="17" fillId="0" borderId="21" xfId="93" applyFont="1" applyFill="1" applyBorder="1" applyAlignment="1" applyProtection="1">
      <alignment horizontal="right" vertical="center"/>
    </xf>
    <xf numFmtId="188" fontId="17" fillId="7" borderId="38" xfId="1" applyNumberFormat="1" applyFont="1" applyFill="1" applyBorder="1" applyAlignment="1" applyProtection="1">
      <alignment horizontal="right" vertical="center"/>
    </xf>
    <xf numFmtId="188" fontId="17" fillId="7" borderId="40" xfId="1" applyNumberFormat="1" applyFont="1" applyFill="1" applyBorder="1" applyAlignment="1" applyProtection="1">
      <alignment horizontal="right" vertical="center"/>
    </xf>
    <xf numFmtId="181" fontId="4" fillId="0" borderId="0" xfId="93" applyFont="1" applyFill="1" applyBorder="1" applyAlignment="1" applyProtection="1"/>
    <xf numFmtId="181" fontId="1" fillId="0" borderId="0" xfId="93" applyFont="1" applyFill="1" applyBorder="1" applyProtection="1"/>
    <xf numFmtId="181" fontId="1" fillId="0" borderId="0" xfId="93" applyFont="1" applyFill="1" applyBorder="1" applyAlignment="1" applyProtection="1">
      <alignment horizontal="center"/>
    </xf>
    <xf numFmtId="186" fontId="4" fillId="0" borderId="0" xfId="93" applyNumberFormat="1" applyFont="1" applyFill="1" applyBorder="1" applyAlignment="1" applyProtection="1">
      <alignment horizontal="right"/>
    </xf>
    <xf numFmtId="186" fontId="4" fillId="0" borderId="0" xfId="93" applyNumberFormat="1" applyFont="1" applyFill="1" applyAlignment="1" applyProtection="1">
      <alignment horizontal="right"/>
    </xf>
    <xf numFmtId="181" fontId="18" fillId="0" borderId="0" xfId="93" applyFont="1" applyFill="1" applyProtection="1"/>
    <xf numFmtId="181" fontId="29" fillId="0" borderId="0" xfId="93" applyFont="1" applyFill="1"/>
    <xf numFmtId="181" fontId="1" fillId="0" borderId="0" xfId="93" applyFont="1" applyFill="1" applyAlignment="1">
      <alignment vertical="center"/>
    </xf>
    <xf numFmtId="181" fontId="10" fillId="0" borderId="0" xfId="93" applyFont="1" applyFill="1" applyBorder="1" applyAlignment="1" applyProtection="1">
      <alignment vertical="center"/>
    </xf>
    <xf numFmtId="181" fontId="10" fillId="0" borderId="0" xfId="93" applyFont="1" applyFill="1" applyBorder="1" applyAlignment="1" applyProtection="1">
      <alignment horizontal="left" vertical="center"/>
    </xf>
    <xf numFmtId="181" fontId="21" fillId="0" borderId="0" xfId="93" applyFont="1" applyFill="1" applyAlignment="1" applyProtection="1">
      <alignment vertical="center"/>
    </xf>
    <xf numFmtId="181" fontId="4" fillId="2" borderId="38" xfId="93" applyFont="1" applyFill="1" applyBorder="1" applyAlignment="1" applyProtection="1">
      <alignment horizontal="left" vertical="center"/>
      <protection locked="0"/>
    </xf>
    <xf numFmtId="181" fontId="4" fillId="2" borderId="39" xfId="93" applyFont="1" applyFill="1" applyBorder="1" applyAlignment="1" applyProtection="1">
      <alignment horizontal="left" vertical="center"/>
      <protection locked="0"/>
    </xf>
    <xf numFmtId="181" fontId="4" fillId="2" borderId="40" xfId="93" applyFont="1" applyFill="1" applyBorder="1" applyAlignment="1" applyProtection="1">
      <alignment horizontal="left" vertical="center"/>
      <protection locked="0"/>
    </xf>
    <xf numFmtId="181" fontId="20" fillId="0" borderId="6" xfId="93" applyFont="1" applyFill="1" applyBorder="1" applyAlignment="1" applyProtection="1">
      <alignment horizontal="center" vertical="center"/>
    </xf>
    <xf numFmtId="2" fontId="4" fillId="7" borderId="45" xfId="93" applyNumberFormat="1" applyFont="1" applyFill="1" applyBorder="1" applyAlignment="1" applyProtection="1">
      <alignment vertical="center"/>
    </xf>
    <xf numFmtId="4" fontId="1" fillId="0" borderId="0" xfId="93" applyNumberFormat="1" applyFont="1" applyFill="1" applyAlignment="1" applyProtection="1">
      <alignment vertical="center"/>
      <protection locked="0"/>
    </xf>
    <xf numFmtId="4" fontId="21" fillId="0" borderId="0" xfId="93" applyNumberFormat="1" applyFont="1" applyFill="1" applyAlignment="1" applyProtection="1">
      <alignment horizontal="center" vertical="center"/>
      <protection locked="0"/>
    </xf>
    <xf numFmtId="4" fontId="1" fillId="0" borderId="36" xfId="93" applyNumberFormat="1" applyFont="1" applyFill="1" applyBorder="1" applyAlignment="1" applyProtection="1">
      <alignment vertical="center"/>
    </xf>
    <xf numFmtId="2" fontId="4" fillId="2" borderId="34" xfId="93" applyNumberFormat="1" applyFont="1" applyFill="1" applyBorder="1" applyAlignment="1" applyProtection="1">
      <alignment vertical="center"/>
      <protection locked="0"/>
    </xf>
    <xf numFmtId="2" fontId="4" fillId="7" borderId="34" xfId="93" applyNumberFormat="1" applyFont="1" applyFill="1" applyBorder="1" applyAlignment="1" applyProtection="1">
      <alignment vertical="center"/>
    </xf>
    <xf numFmtId="2" fontId="4" fillId="7" borderId="37" xfId="93" applyNumberFormat="1" applyFont="1" applyFill="1" applyBorder="1" applyAlignment="1" applyProtection="1">
      <alignment vertical="center"/>
    </xf>
    <xf numFmtId="181" fontId="28" fillId="0" borderId="0" xfId="93" applyFont="1" applyFill="1" applyBorder="1" applyAlignment="1" applyProtection="1">
      <alignment horizontal="right" vertical="center"/>
    </xf>
    <xf numFmtId="181" fontId="22" fillId="7" borderId="0" xfId="93" applyFont="1" applyFill="1" applyAlignment="1" applyProtection="1">
      <alignment vertical="center"/>
      <protection locked="0"/>
    </xf>
    <xf numFmtId="181" fontId="4" fillId="7" borderId="0" xfId="93" applyFont="1" applyFill="1" applyAlignment="1" applyProtection="1">
      <alignment vertical="center"/>
      <protection locked="0"/>
    </xf>
    <xf numFmtId="181" fontId="30" fillId="0" borderId="0" xfId="93" applyFont="1" applyFill="1" applyBorder="1" applyAlignment="1" applyProtection="1">
      <alignment vertical="center"/>
    </xf>
    <xf numFmtId="181" fontId="27" fillId="0" borderId="0" xfId="93" applyFont="1" applyFill="1" applyBorder="1" applyAlignment="1" applyProtection="1">
      <alignment horizontal="left" vertical="center"/>
    </xf>
    <xf numFmtId="181" fontId="4" fillId="7" borderId="45" xfId="93" applyFont="1" applyFill="1" applyBorder="1" applyAlignment="1" applyProtection="1">
      <alignment horizontal="right" vertical="center"/>
    </xf>
    <xf numFmtId="182" fontId="4" fillId="2" borderId="60" xfId="93" applyNumberFormat="1" applyFont="1" applyFill="1" applyBorder="1" applyAlignment="1" applyProtection="1">
      <alignment horizontal="right" vertical="center"/>
      <protection locked="0"/>
    </xf>
    <xf numFmtId="182" fontId="4" fillId="2" borderId="50" xfId="93" applyNumberFormat="1" applyFont="1" applyFill="1" applyBorder="1" applyAlignment="1" applyProtection="1">
      <alignment horizontal="right" vertical="center"/>
      <protection locked="0"/>
    </xf>
    <xf numFmtId="182" fontId="4" fillId="2" borderId="62" xfId="93" applyNumberFormat="1" applyFont="1" applyFill="1" applyBorder="1" applyAlignment="1" applyProtection="1">
      <alignment horizontal="right" vertical="center"/>
      <protection locked="0"/>
    </xf>
    <xf numFmtId="182" fontId="4" fillId="2" borderId="63" xfId="93" applyNumberFormat="1" applyFont="1" applyFill="1" applyBorder="1" applyAlignment="1" applyProtection="1">
      <alignment horizontal="right" vertical="center"/>
      <protection locked="0"/>
    </xf>
    <xf numFmtId="3" fontId="4" fillId="0" borderId="0" xfId="93" applyNumberFormat="1" applyFont="1" applyFill="1" applyAlignment="1" applyProtection="1">
      <alignment vertical="center"/>
    </xf>
    <xf numFmtId="3" fontId="4" fillId="0" borderId="0" xfId="93" applyNumberFormat="1" applyFont="1" applyFill="1" applyBorder="1" applyAlignment="1" applyProtection="1">
      <alignment vertical="center"/>
    </xf>
    <xf numFmtId="182" fontId="1" fillId="7" borderId="38" xfId="93" applyNumberFormat="1" applyFont="1" applyFill="1" applyBorder="1" applyAlignment="1" applyProtection="1">
      <alignment horizontal="right" vertical="center"/>
    </xf>
    <xf numFmtId="182" fontId="1" fillId="7" borderId="40" xfId="93" applyNumberFormat="1" applyFont="1" applyFill="1" applyBorder="1" applyAlignment="1" applyProtection="1">
      <alignment horizontal="right" vertical="center"/>
    </xf>
    <xf numFmtId="40" fontId="1" fillId="0" borderId="0" xfId="93" applyNumberFormat="1" applyFont="1" applyFill="1" applyAlignment="1" applyProtection="1">
      <alignment vertical="center"/>
    </xf>
    <xf numFmtId="3" fontId="1" fillId="0" borderId="0" xfId="93" applyNumberFormat="1" applyFont="1" applyFill="1" applyBorder="1" applyAlignment="1" applyProtection="1">
      <alignment vertical="center"/>
    </xf>
    <xf numFmtId="181" fontId="4" fillId="0" borderId="20" xfId="93" applyFont="1" applyFill="1" applyBorder="1" applyAlignment="1" applyProtection="1">
      <alignment vertical="center"/>
    </xf>
    <xf numFmtId="181" fontId="4" fillId="0" borderId="22" xfId="93" applyFont="1" applyFill="1" applyBorder="1" applyAlignment="1" applyProtection="1">
      <alignment vertical="center"/>
    </xf>
    <xf numFmtId="3" fontId="1" fillId="0" borderId="0" xfId="93" applyNumberFormat="1" applyFont="1" applyFill="1" applyAlignment="1" applyProtection="1">
      <alignment vertical="center"/>
    </xf>
    <xf numFmtId="181" fontId="29" fillId="0" borderId="0" xfId="93" applyFont="1" applyFill="1" applyAlignment="1" applyProtection="1">
      <alignment vertical="center"/>
    </xf>
    <xf numFmtId="186" fontId="4" fillId="0" borderId="0" xfId="93" applyNumberFormat="1" applyFont="1" applyFill="1" applyBorder="1" applyAlignment="1" applyProtection="1">
      <alignment horizontal="right" vertical="center"/>
    </xf>
    <xf numFmtId="186" fontId="4" fillId="0" borderId="0" xfId="93" applyNumberFormat="1" applyFont="1" applyFill="1" applyAlignment="1" applyProtection="1">
      <alignment horizontal="right" vertical="center"/>
    </xf>
    <xf numFmtId="181" fontId="31" fillId="0" borderId="0" xfId="93" applyFont="1" applyFill="1" applyAlignment="1" applyProtection="1">
      <alignment vertical="center"/>
    </xf>
    <xf numFmtId="0" fontId="1" fillId="0" borderId="0" xfId="0" applyFont="1"/>
    <xf numFmtId="181" fontId="19" fillId="0" borderId="24" xfId="93" applyFont="1" applyFill="1" applyBorder="1" applyAlignment="1" applyProtection="1">
      <alignment horizontal="center" vertical="center"/>
    </xf>
    <xf numFmtId="0" fontId="1" fillId="0" borderId="0" xfId="0" applyFont="1" applyAlignment="1">
      <alignment vertical="center"/>
    </xf>
    <xf numFmtId="181" fontId="4" fillId="0" borderId="41" xfId="93" applyFont="1" applyFill="1" applyBorder="1" applyAlignment="1" applyProtection="1">
      <alignment horizontal="left"/>
    </xf>
    <xf numFmtId="181" fontId="4" fillId="0" borderId="43" xfId="93" applyFont="1" applyFill="1" applyBorder="1" applyAlignment="1" applyProtection="1">
      <alignment horizontal="left"/>
    </xf>
    <xf numFmtId="181" fontId="4" fillId="0" borderId="50" xfId="93" applyFont="1" applyFill="1" applyBorder="1" applyAlignment="1" applyProtection="1">
      <alignment horizontal="left"/>
    </xf>
    <xf numFmtId="189" fontId="1" fillId="2" borderId="34" xfId="90" applyNumberFormat="1" applyFont="1" applyFill="1" applyBorder="1" applyAlignment="1" applyProtection="1">
      <alignment vertical="center"/>
      <protection locked="0"/>
    </xf>
    <xf numFmtId="189" fontId="1" fillId="7" borderId="34" xfId="93" applyNumberFormat="1" applyFont="1" applyFill="1" applyBorder="1" applyAlignment="1" applyProtection="1">
      <alignment vertical="center"/>
      <protection hidden="1"/>
    </xf>
    <xf numFmtId="189" fontId="1" fillId="7" borderId="37" xfId="93" applyNumberFormat="1" applyFont="1" applyFill="1" applyBorder="1" applyAlignment="1" applyProtection="1">
      <alignment vertical="center"/>
      <protection hidden="1"/>
    </xf>
    <xf numFmtId="4" fontId="4" fillId="0" borderId="0" xfId="93" applyNumberFormat="1" applyFont="1" applyFill="1" applyAlignment="1" applyProtection="1">
      <alignment vertical="center"/>
      <protection hidden="1"/>
    </xf>
    <xf numFmtId="182" fontId="1" fillId="2" borderId="37" xfId="93" applyNumberFormat="1" applyFont="1" applyFill="1" applyBorder="1" applyAlignment="1" applyProtection="1">
      <alignment vertical="center"/>
      <protection locked="0" hidden="1"/>
    </xf>
    <xf numFmtId="181" fontId="4" fillId="0" borderId="0" xfId="93" applyFont="1" applyFill="1" applyAlignment="1" applyProtection="1">
      <alignment horizontal="right" vertical="center"/>
      <protection hidden="1"/>
    </xf>
    <xf numFmtId="181" fontId="32" fillId="0" borderId="0" xfId="93" applyFont="1" applyFill="1" applyAlignment="1" applyProtection="1">
      <alignment horizontal="right" vertical="center"/>
    </xf>
    <xf numFmtId="181" fontId="4" fillId="0" borderId="38" xfId="93" applyFont="1" applyFill="1" applyBorder="1" applyAlignment="1" applyProtection="1">
      <alignment horizontal="left" vertical="center"/>
    </xf>
    <xf numFmtId="181" fontId="4" fillId="0" borderId="39" xfId="93" applyFont="1" applyFill="1" applyBorder="1" applyAlignment="1" applyProtection="1">
      <alignment horizontal="left" vertical="center"/>
    </xf>
    <xf numFmtId="181" fontId="4" fillId="0" borderId="65" xfId="93" applyFont="1" applyFill="1" applyBorder="1" applyAlignment="1" applyProtection="1">
      <alignment horizontal="left" vertical="center"/>
    </xf>
    <xf numFmtId="189" fontId="1" fillId="7" borderId="49" xfId="93" applyNumberFormat="1" applyFont="1" applyFill="1" applyBorder="1" applyAlignment="1" applyProtection="1">
      <alignment vertical="center"/>
      <protection hidden="1"/>
    </xf>
    <xf numFmtId="181" fontId="1" fillId="0" borderId="0" xfId="93" applyFont="1" applyFill="1" applyAlignment="1" applyProtection="1">
      <alignment vertical="center"/>
      <protection hidden="1"/>
    </xf>
    <xf numFmtId="181" fontId="23" fillId="0" borderId="0" xfId="93" applyFont="1" applyFill="1" applyAlignment="1" applyProtection="1">
      <alignment horizontal="left" vertical="center"/>
    </xf>
    <xf numFmtId="181" fontId="4" fillId="0" borderId="0" xfId="93" applyFont="1" applyFill="1" applyBorder="1" applyAlignment="1" applyProtection="1">
      <alignment horizontal="center" vertical="center"/>
      <protection hidden="1"/>
    </xf>
    <xf numFmtId="181" fontId="7" fillId="0" borderId="21" xfId="93" applyFont="1" applyFill="1" applyBorder="1" applyAlignment="1" applyProtection="1">
      <alignment horizontal="left" vertical="center"/>
    </xf>
    <xf numFmtId="187" fontId="1" fillId="7" borderId="45" xfId="93" applyNumberFormat="1" applyFont="1" applyFill="1" applyBorder="1" applyAlignment="1" applyProtection="1">
      <alignment vertical="center"/>
      <protection hidden="1"/>
    </xf>
    <xf numFmtId="187" fontId="1" fillId="0" borderId="0" xfId="93" applyNumberFormat="1" applyFont="1" applyFill="1" applyBorder="1" applyAlignment="1" applyProtection="1">
      <alignment vertical="center"/>
      <protection hidden="1"/>
    </xf>
    <xf numFmtId="181" fontId="33" fillId="0" borderId="0" xfId="93" applyFont="1" applyFill="1" applyAlignment="1" applyProtection="1">
      <alignment vertical="center"/>
    </xf>
    <xf numFmtId="3" fontId="4" fillId="0" borderId="0" xfId="93" applyNumberFormat="1" applyFont="1" applyFill="1" applyAlignment="1" applyProtection="1">
      <alignment vertical="center"/>
      <protection hidden="1"/>
    </xf>
    <xf numFmtId="181" fontId="4" fillId="0" borderId="0" xfId="93" applyFont="1" applyFill="1" applyBorder="1" applyAlignment="1" applyProtection="1">
      <alignment horizontal="center" vertical="center"/>
    </xf>
    <xf numFmtId="0" fontId="1" fillId="0" borderId="0" xfId="0" applyFont="1" applyAlignment="1" applyProtection="1">
      <alignment vertical="center"/>
      <protection hidden="1"/>
    </xf>
    <xf numFmtId="177" fontId="4" fillId="7" borderId="45" xfId="3" applyFont="1" applyFill="1" applyBorder="1" applyAlignment="1" applyProtection="1">
      <alignment horizontal="right" vertical="center"/>
      <protection hidden="1"/>
    </xf>
    <xf numFmtId="0" fontId="0" fillId="0" borderId="39" xfId="0" applyBorder="1"/>
    <xf numFmtId="183" fontId="4" fillId="7" borderId="45" xfId="3" applyNumberFormat="1" applyFont="1" applyFill="1" applyBorder="1" applyAlignment="1" applyProtection="1">
      <alignment horizontal="right" vertical="center"/>
      <protection hidden="1"/>
    </xf>
    <xf numFmtId="182" fontId="1" fillId="2" borderId="45" xfId="3" applyNumberFormat="1" applyFont="1" applyFill="1" applyBorder="1" applyAlignment="1" applyProtection="1">
      <alignment horizontal="right" vertical="center"/>
      <protection locked="0" hidden="1"/>
    </xf>
    <xf numFmtId="181" fontId="7" fillId="0" borderId="0" xfId="93" applyFont="1" applyFill="1" applyAlignment="1" applyProtection="1">
      <alignment horizontal="left" vertical="center" wrapText="1"/>
    </xf>
    <xf numFmtId="181" fontId="34" fillId="0" borderId="0" xfId="93" applyFont="1" applyFill="1" applyAlignment="1" applyProtection="1">
      <alignment horizontal="left" vertical="center"/>
    </xf>
    <xf numFmtId="181" fontId="34" fillId="0" borderId="21" xfId="93" applyFont="1" applyFill="1" applyBorder="1" applyAlignment="1" applyProtection="1">
      <alignment horizontal="left" vertical="center"/>
    </xf>
    <xf numFmtId="187" fontId="35" fillId="7" borderId="45" xfId="93" applyNumberFormat="1" applyFont="1" applyFill="1" applyBorder="1" applyAlignment="1" applyProtection="1">
      <alignment horizontal="right" vertical="center"/>
      <protection hidden="1"/>
    </xf>
    <xf numFmtId="0" fontId="1" fillId="0" borderId="0" xfId="0" applyFont="1" applyProtection="1"/>
    <xf numFmtId="181" fontId="36" fillId="0" borderId="0" xfId="93" applyFont="1" applyFill="1" applyBorder="1" applyAlignment="1" applyProtection="1">
      <alignment horizontal="right" vertical="center"/>
    </xf>
    <xf numFmtId="181" fontId="36" fillId="0" borderId="21" xfId="93" applyFont="1" applyFill="1" applyBorder="1" applyAlignment="1" applyProtection="1">
      <alignment horizontal="right" vertical="center"/>
    </xf>
    <xf numFmtId="182" fontId="17" fillId="6" borderId="38" xfId="0" applyNumberFormat="1" applyFont="1" applyFill="1" applyBorder="1" applyAlignment="1">
      <alignment horizontal="right"/>
    </xf>
    <xf numFmtId="182" fontId="17" fillId="6" borderId="39" xfId="0" applyNumberFormat="1" applyFont="1" applyFill="1" applyBorder="1" applyAlignment="1">
      <alignment horizontal="right"/>
    </xf>
    <xf numFmtId="2" fontId="1" fillId="0" borderId="0" xfId="93" applyNumberFormat="1" applyFont="1"/>
    <xf numFmtId="181" fontId="37" fillId="3" borderId="0" xfId="93" applyFont="1" applyFill="1" applyBorder="1" applyAlignment="1" applyProtection="1">
      <alignment horizontal="center" vertical="center"/>
    </xf>
    <xf numFmtId="181" fontId="1" fillId="3" borderId="0" xfId="93" applyFont="1" applyFill="1" applyBorder="1" applyAlignment="1" applyProtection="1">
      <alignment horizontal="left" vertical="center"/>
    </xf>
    <xf numFmtId="181" fontId="22" fillId="3" borderId="0" xfId="93" applyFont="1" applyFill="1" applyBorder="1" applyAlignment="1" applyProtection="1">
      <alignment horizontal="left" vertical="center"/>
    </xf>
    <xf numFmtId="181" fontId="1" fillId="0" borderId="47" xfId="93" applyFont="1" applyFill="1" applyBorder="1" applyAlignment="1" applyProtection="1">
      <alignment horizontal="left" vertical="center"/>
    </xf>
    <xf numFmtId="181" fontId="1" fillId="0" borderId="15" xfId="93" applyFont="1" applyFill="1" applyBorder="1" applyAlignment="1" applyProtection="1">
      <alignment horizontal="left" vertical="center"/>
    </xf>
    <xf numFmtId="182" fontId="1" fillId="2" borderId="37" xfId="93" applyNumberFormat="1" applyFont="1" applyFill="1" applyBorder="1" applyAlignment="1" applyProtection="1">
      <alignment vertical="center"/>
      <protection locked="0"/>
    </xf>
    <xf numFmtId="0" fontId="9" fillId="0" borderId="0" xfId="0" applyFont="1" applyAlignment="1">
      <alignment vertical="center"/>
    </xf>
    <xf numFmtId="181" fontId="4" fillId="0" borderId="0" xfId="93" applyFont="1" applyFill="1" applyAlignment="1">
      <alignment horizontal="right" vertical="center"/>
    </xf>
    <xf numFmtId="181" fontId="4" fillId="0" borderId="0" xfId="93" applyFont="1" applyFill="1" applyBorder="1" applyAlignment="1" applyProtection="1">
      <alignment horizontal="left" vertical="center"/>
    </xf>
    <xf numFmtId="0" fontId="1" fillId="0" borderId="0" xfId="0" applyFont="1" applyAlignment="1">
      <alignment horizontal="center" vertical="center"/>
    </xf>
    <xf numFmtId="0" fontId="1" fillId="0" borderId="0" xfId="0" applyFont="1" applyAlignment="1" applyProtection="1">
      <alignment horizontal="center" vertical="center"/>
    </xf>
    <xf numFmtId="0" fontId="1" fillId="0" borderId="0" xfId="0" applyFont="1" applyFill="1" applyAlignment="1" applyProtection="1">
      <alignment vertical="center"/>
    </xf>
    <xf numFmtId="0" fontId="1" fillId="0" borderId="0" xfId="0" applyFont="1" applyFill="1" applyAlignment="1">
      <alignment vertical="center"/>
    </xf>
    <xf numFmtId="177" fontId="4" fillId="7" borderId="45" xfId="3" applyFont="1" applyFill="1" applyBorder="1" applyAlignment="1" applyProtection="1">
      <alignment horizontal="right" vertical="center"/>
    </xf>
    <xf numFmtId="182" fontId="1" fillId="2" borderId="45" xfId="3" applyNumberFormat="1" applyFont="1" applyFill="1" applyBorder="1" applyAlignment="1" applyProtection="1">
      <alignment horizontal="right" vertical="center"/>
      <protection locked="0"/>
    </xf>
    <xf numFmtId="0" fontId="38" fillId="0" borderId="0" xfId="0" applyFont="1" applyFill="1" applyProtection="1"/>
    <xf numFmtId="0" fontId="39" fillId="0" borderId="0" xfId="0" applyFont="1" applyFill="1" applyProtection="1"/>
    <xf numFmtId="0" fontId="0" fillId="0" borderId="0" xfId="0" applyFill="1" applyAlignment="1" applyProtection="1"/>
    <xf numFmtId="181" fontId="1" fillId="0" borderId="5" xfId="93" applyFont="1" applyFill="1" applyBorder="1" applyAlignment="1" applyProtection="1">
      <alignment horizontal="left" vertical="center"/>
    </xf>
    <xf numFmtId="189" fontId="1" fillId="7" borderId="48" xfId="93" applyNumberFormat="1" applyFont="1" applyFill="1" applyBorder="1" applyAlignment="1" applyProtection="1">
      <alignment vertical="center"/>
      <protection hidden="1"/>
    </xf>
    <xf numFmtId="0" fontId="16" fillId="0" borderId="26" xfId="6" applyFont="1" applyFill="1" applyBorder="1" applyAlignment="1" applyProtection="1">
      <alignment horizontal="center" vertical="center" wrapText="1"/>
    </xf>
    <xf numFmtId="181" fontId="4" fillId="0" borderId="0" xfId="93" applyFont="1" applyFill="1" applyAlignment="1">
      <alignment horizontal="left" vertical="center"/>
    </xf>
    <xf numFmtId="189" fontId="1" fillId="0" borderId="0" xfId="93" applyNumberFormat="1" applyFont="1" applyFill="1" applyBorder="1" applyAlignment="1" applyProtection="1">
      <alignment vertical="center"/>
      <protection hidden="1"/>
    </xf>
    <xf numFmtId="177" fontId="4" fillId="0" borderId="39" xfId="3" applyFont="1" applyFill="1" applyBorder="1" applyAlignment="1" applyProtection="1">
      <alignment horizontal="right" vertical="center"/>
    </xf>
    <xf numFmtId="187" fontId="1" fillId="0" borderId="39" xfId="93" applyNumberFormat="1" applyFont="1" applyFill="1" applyBorder="1" applyAlignment="1" applyProtection="1">
      <alignment vertical="center"/>
      <protection hidden="1"/>
    </xf>
    <xf numFmtId="181" fontId="4" fillId="0" borderId="21" xfId="93" applyFont="1" applyFill="1" applyBorder="1" applyAlignment="1" applyProtection="1">
      <alignment horizontal="right" vertical="center"/>
    </xf>
    <xf numFmtId="9" fontId="1" fillId="7" borderId="45" xfId="93" applyNumberFormat="1" applyFont="1" applyFill="1" applyBorder="1" applyAlignment="1" applyProtection="1">
      <alignment vertical="center"/>
      <protection hidden="1"/>
    </xf>
    <xf numFmtId="182" fontId="17" fillId="6" borderId="40" xfId="0" applyNumberFormat="1" applyFont="1" applyFill="1" applyBorder="1" applyAlignment="1">
      <alignment horizontal="right"/>
    </xf>
    <xf numFmtId="181" fontId="19" fillId="0" borderId="0" xfId="93" applyFont="1" applyFill="1" applyAlignment="1" applyProtection="1">
      <alignment horizontal="left"/>
    </xf>
    <xf numFmtId="181" fontId="4" fillId="0" borderId="0" xfId="93" applyFont="1" applyFill="1" applyProtection="1"/>
    <xf numFmtId="181" fontId="20" fillId="0" borderId="6" xfId="93" applyFont="1" applyFill="1" applyBorder="1" applyAlignment="1" applyProtection="1">
      <alignment horizontal="center"/>
    </xf>
    <xf numFmtId="181" fontId="21" fillId="0" borderId="41" xfId="93" applyFont="1" applyFill="1" applyBorder="1" applyAlignment="1" applyProtection="1">
      <alignment horizontal="center" vertical="center"/>
    </xf>
    <xf numFmtId="181" fontId="21" fillId="0" borderId="31" xfId="93" applyFont="1" applyFill="1" applyBorder="1" applyAlignment="1" applyProtection="1">
      <alignment horizontal="center" vertical="center"/>
      <protection locked="0"/>
    </xf>
    <xf numFmtId="1" fontId="1" fillId="7" borderId="13" xfId="93" applyNumberFormat="1" applyFont="1" applyFill="1" applyBorder="1" applyAlignment="1" applyProtection="1">
      <alignment vertical="center"/>
    </xf>
    <xf numFmtId="189" fontId="1" fillId="7" borderId="1" xfId="93" applyNumberFormat="1" applyFont="1" applyFill="1" applyBorder="1" applyAlignment="1" applyProtection="1">
      <alignment vertical="center"/>
    </xf>
    <xf numFmtId="189" fontId="1" fillId="2" borderId="1" xfId="93" applyNumberFormat="1" applyFont="1" applyFill="1" applyBorder="1" applyAlignment="1" applyProtection="1">
      <alignment vertical="center"/>
      <protection locked="0"/>
    </xf>
    <xf numFmtId="1" fontId="1" fillId="7" borderId="36" xfId="93" applyNumberFormat="1" applyFont="1" applyFill="1" applyBorder="1" applyAlignment="1" applyProtection="1">
      <alignment vertical="center"/>
    </xf>
    <xf numFmtId="189" fontId="1" fillId="7" borderId="36" xfId="93" applyNumberFormat="1" applyFont="1" applyFill="1" applyBorder="1" applyAlignment="1" applyProtection="1">
      <alignment vertical="center"/>
    </xf>
    <xf numFmtId="181" fontId="4" fillId="0" borderId="0" xfId="93" applyFont="1" applyFill="1" applyAlignment="1" applyProtection="1">
      <alignment horizontal="right"/>
    </xf>
    <xf numFmtId="189" fontId="4" fillId="7" borderId="45" xfId="93" applyNumberFormat="1" applyFont="1" applyFill="1" applyBorder="1" applyAlignment="1" applyProtection="1">
      <alignment vertical="center"/>
    </xf>
    <xf numFmtId="4" fontId="4" fillId="7" borderId="25" xfId="93" applyNumberFormat="1" applyFont="1" applyFill="1" applyBorder="1" applyProtection="1">
      <protection locked="0"/>
    </xf>
    <xf numFmtId="4" fontId="1" fillId="0" borderId="0" xfId="93" applyNumberFormat="1" applyFont="1" applyFill="1" applyProtection="1"/>
    <xf numFmtId="4" fontId="1" fillId="0" borderId="0" xfId="93" applyNumberFormat="1" applyFont="1" applyFill="1" applyProtection="1">
      <protection locked="0"/>
    </xf>
    <xf numFmtId="4" fontId="21" fillId="0" borderId="0" xfId="93" applyNumberFormat="1" applyFont="1" applyFill="1" applyAlignment="1" applyProtection="1">
      <alignment horizontal="center"/>
      <protection locked="0"/>
    </xf>
    <xf numFmtId="189" fontId="1" fillId="7" borderId="3" xfId="93" applyNumberFormat="1" applyFont="1" applyFill="1" applyBorder="1" applyAlignment="1" applyProtection="1">
      <alignment horizontal="right" vertical="center"/>
    </xf>
    <xf numFmtId="189" fontId="1" fillId="2" borderId="3" xfId="93" applyNumberFormat="1" applyFont="1" applyFill="1" applyBorder="1" applyAlignment="1" applyProtection="1">
      <alignment horizontal="right" vertical="center"/>
      <protection locked="0"/>
    </xf>
    <xf numFmtId="189" fontId="1" fillId="7" borderId="9" xfId="93" applyNumberFormat="1" applyFont="1" applyFill="1" applyBorder="1" applyAlignment="1" applyProtection="1">
      <alignment horizontal="right" vertical="center"/>
    </xf>
    <xf numFmtId="189" fontId="1" fillId="2" borderId="9" xfId="93" applyNumberFormat="1" applyFont="1" applyFill="1" applyBorder="1" applyAlignment="1" applyProtection="1">
      <alignment horizontal="right" vertical="center"/>
      <protection locked="0"/>
    </xf>
    <xf numFmtId="189" fontId="1" fillId="0" borderId="1" xfId="93" applyNumberFormat="1" applyFont="1" applyFill="1" applyBorder="1" applyAlignment="1" applyProtection="1">
      <alignment horizontal="right" vertical="center"/>
    </xf>
    <xf numFmtId="2" fontId="1" fillId="0" borderId="13" xfId="93" applyNumberFormat="1" applyFont="1" applyFill="1" applyBorder="1" applyAlignment="1" applyProtection="1">
      <alignment vertical="center"/>
      <protection hidden="1"/>
    </xf>
    <xf numFmtId="189" fontId="1" fillId="7" borderId="1" xfId="93" applyNumberFormat="1" applyFont="1" applyFill="1" applyBorder="1" applyAlignment="1" applyProtection="1">
      <alignment horizontal="right" vertical="center"/>
    </xf>
    <xf numFmtId="189" fontId="1" fillId="2" borderId="13" xfId="93" applyNumberFormat="1" applyFont="1" applyFill="1" applyBorder="1" applyAlignment="1" applyProtection="1">
      <alignment vertical="center"/>
      <protection locked="0"/>
    </xf>
    <xf numFmtId="189" fontId="1" fillId="7" borderId="36" xfId="93" applyNumberFormat="1" applyFont="1" applyFill="1" applyBorder="1" applyAlignment="1" applyProtection="1">
      <alignment horizontal="right" vertical="center"/>
    </xf>
    <xf numFmtId="189" fontId="1" fillId="2" borderId="48" xfId="93" applyNumberFormat="1" applyFont="1" applyFill="1" applyBorder="1" applyAlignment="1" applyProtection="1">
      <alignment vertical="center"/>
      <protection locked="0"/>
    </xf>
    <xf numFmtId="181" fontId="19" fillId="0" borderId="0" xfId="93" applyFont="1" applyFill="1" applyAlignment="1" applyProtection="1">
      <alignment horizontal="left" vertical="center"/>
    </xf>
    <xf numFmtId="181" fontId="40" fillId="2" borderId="30" xfId="93" applyFont="1" applyFill="1" applyBorder="1" applyAlignment="1" applyProtection="1">
      <alignment horizontal="center" vertical="center"/>
      <protection locked="0"/>
    </xf>
    <xf numFmtId="181" fontId="4" fillId="0" borderId="60" xfId="93" applyFont="1" applyFill="1" applyBorder="1" applyAlignment="1" applyProtection="1">
      <alignment horizontal="left" vertical="center"/>
    </xf>
    <xf numFmtId="181" fontId="37" fillId="0" borderId="0" xfId="93" applyFont="1" applyFill="1" applyAlignment="1" applyProtection="1">
      <alignment horizontal="centerContinuous" vertical="center"/>
      <protection locked="0"/>
    </xf>
    <xf numFmtId="181" fontId="28" fillId="2" borderId="66" xfId="93" applyFont="1" applyFill="1" applyBorder="1" applyAlignment="1" applyProtection="1">
      <alignment horizontal="center" vertical="center"/>
      <protection locked="0"/>
    </xf>
    <xf numFmtId="181" fontId="1" fillId="0" borderId="12" xfId="93" applyFont="1" applyFill="1" applyBorder="1" applyAlignment="1" applyProtection="1">
      <alignment horizontal="left" vertical="center"/>
    </xf>
    <xf numFmtId="181" fontId="1" fillId="7" borderId="50" xfId="93" applyFont="1" applyFill="1" applyBorder="1" applyAlignment="1" applyProtection="1">
      <alignment horizontal="right" vertical="center"/>
    </xf>
    <xf numFmtId="181" fontId="1" fillId="7" borderId="61" xfId="93" applyFont="1" applyFill="1" applyBorder="1" applyAlignment="1" applyProtection="1">
      <alignment horizontal="right" vertical="center"/>
    </xf>
    <xf numFmtId="181" fontId="22" fillId="7" borderId="67" xfId="93" applyFont="1" applyFill="1" applyBorder="1" applyAlignment="1" applyProtection="1">
      <alignment horizontal="right" vertical="center"/>
    </xf>
    <xf numFmtId="181" fontId="1" fillId="7" borderId="63" xfId="93" applyFont="1" applyFill="1" applyBorder="1" applyAlignment="1" applyProtection="1">
      <alignment horizontal="right" vertical="center"/>
    </xf>
    <xf numFmtId="4" fontId="21" fillId="7" borderId="0" xfId="93" applyNumberFormat="1" applyFont="1" applyFill="1" applyAlignment="1" applyProtection="1">
      <alignment horizontal="center" vertical="center"/>
    </xf>
    <xf numFmtId="4" fontId="1" fillId="7" borderId="2" xfId="93" applyNumberFormat="1" applyFont="1" applyFill="1" applyBorder="1" applyAlignment="1" applyProtection="1">
      <alignment vertical="center"/>
    </xf>
    <xf numFmtId="4" fontId="4" fillId="3" borderId="2" xfId="93" applyNumberFormat="1" applyFont="1" applyFill="1" applyBorder="1" applyAlignment="1" applyProtection="1">
      <alignment vertical="center"/>
    </xf>
    <xf numFmtId="4" fontId="4" fillId="3" borderId="0" xfId="93" applyNumberFormat="1" applyFont="1" applyFill="1" applyBorder="1" applyAlignment="1" applyProtection="1">
      <alignment vertical="center"/>
    </xf>
    <xf numFmtId="181" fontId="7" fillId="0" borderId="0" xfId="93" applyFont="1" applyFill="1" applyAlignment="1" applyProtection="1">
      <alignment horizontal="center" vertical="center"/>
    </xf>
    <xf numFmtId="181" fontId="7" fillId="0" borderId="0" xfId="93" applyFont="1" applyFill="1" applyAlignment="1" applyProtection="1">
      <alignment horizontal="right" vertical="center"/>
    </xf>
    <xf numFmtId="181" fontId="7" fillId="0" borderId="0" xfId="93" applyFont="1" applyFill="1" applyAlignment="1" applyProtection="1"/>
    <xf numFmtId="181" fontId="7" fillId="0" borderId="0" xfId="93" applyFont="1" applyFill="1" applyBorder="1" applyAlignment="1" applyProtection="1">
      <alignment horizontal="right" vertical="center"/>
    </xf>
    <xf numFmtId="181" fontId="9" fillId="0" borderId="0" xfId="93" applyFont="1" applyAlignment="1" applyProtection="1">
      <alignment vertical="center"/>
    </xf>
    <xf numFmtId="181" fontId="21" fillId="0" borderId="43" xfId="93" applyFont="1" applyFill="1" applyBorder="1" applyAlignment="1" applyProtection="1">
      <alignment horizontal="center" vertical="center"/>
      <protection locked="0"/>
    </xf>
    <xf numFmtId="0" fontId="0" fillId="0" borderId="0" xfId="0" applyFill="1" applyAlignment="1" applyProtection="1">
      <alignment vertical="center"/>
    </xf>
    <xf numFmtId="4" fontId="4" fillId="7" borderId="0" xfId="93" applyNumberFormat="1" applyFont="1" applyFill="1" applyBorder="1" applyProtection="1">
      <protection locked="0"/>
    </xf>
    <xf numFmtId="181" fontId="4" fillId="0" borderId="0" xfId="93" applyFont="1" applyFill="1" applyAlignment="1" applyProtection="1">
      <alignment horizontal="center"/>
    </xf>
    <xf numFmtId="4" fontId="21" fillId="0" borderId="46" xfId="93" applyNumberFormat="1" applyFont="1" applyFill="1" applyBorder="1" applyAlignment="1" applyProtection="1">
      <alignment vertical="center"/>
    </xf>
    <xf numFmtId="49" fontId="1" fillId="0" borderId="34" xfId="93" applyNumberFormat="1" applyFont="1" applyFill="1" applyBorder="1" applyAlignment="1" applyProtection="1">
      <alignment horizontal="center" vertical="center"/>
    </xf>
    <xf numFmtId="181" fontId="1" fillId="0" borderId="34" xfId="93" applyFont="1" applyFill="1" applyBorder="1" applyAlignment="1" applyProtection="1">
      <alignment horizontal="center" vertical="center"/>
    </xf>
    <xf numFmtId="181" fontId="1" fillId="0" borderId="37" xfId="93" applyFont="1" applyFill="1" applyBorder="1" applyAlignment="1" applyProtection="1">
      <alignment horizontal="center" vertical="center"/>
    </xf>
    <xf numFmtId="181" fontId="1" fillId="0" borderId="0" xfId="93" applyFont="1" applyAlignment="1" applyProtection="1">
      <alignment vertical="center"/>
    </xf>
    <xf numFmtId="1" fontId="41" fillId="0" borderId="0" xfId="93" applyNumberFormat="1" applyFont="1" applyFill="1" applyAlignment="1" applyProtection="1">
      <alignment vertical="center"/>
      <protection hidden="1"/>
    </xf>
    <xf numFmtId="1" fontId="1" fillId="0" borderId="0" xfId="93" applyNumberFormat="1" applyFont="1" applyProtection="1"/>
    <xf numFmtId="181" fontId="4" fillId="0" borderId="40" xfId="93" applyFont="1" applyFill="1" applyBorder="1" applyAlignment="1" applyProtection="1">
      <alignment horizontal="left" vertical="center"/>
    </xf>
    <xf numFmtId="181" fontId="1" fillId="7" borderId="45" xfId="93" applyFont="1" applyFill="1" applyBorder="1" applyAlignment="1" applyProtection="1">
      <alignment horizontal="center" vertical="center"/>
      <protection hidden="1"/>
    </xf>
    <xf numFmtId="181" fontId="1" fillId="7" borderId="38" xfId="93" applyFont="1" applyFill="1" applyBorder="1" applyAlignment="1" applyProtection="1">
      <alignment horizontal="center" vertical="center"/>
      <protection hidden="1"/>
    </xf>
    <xf numFmtId="181" fontId="22" fillId="7" borderId="45" xfId="93" applyFont="1" applyFill="1" applyBorder="1" applyAlignment="1" applyProtection="1">
      <alignment vertical="center"/>
      <protection hidden="1"/>
    </xf>
    <xf numFmtId="181" fontId="7" fillId="0" borderId="21" xfId="93" applyFont="1" applyFill="1" applyBorder="1" applyAlignment="1" applyProtection="1">
      <alignment horizontal="right" vertical="center"/>
    </xf>
    <xf numFmtId="187" fontId="4" fillId="7" borderId="45" xfId="93" applyNumberFormat="1" applyFont="1" applyFill="1" applyBorder="1" applyAlignment="1" applyProtection="1">
      <alignment vertical="center"/>
      <protection hidden="1"/>
    </xf>
    <xf numFmtId="187" fontId="4" fillId="0" borderId="0" xfId="93" applyNumberFormat="1" applyFont="1" applyFill="1" applyBorder="1" applyAlignment="1" applyProtection="1">
      <alignment vertical="center"/>
      <protection hidden="1"/>
    </xf>
    <xf numFmtId="181" fontId="42" fillId="0" borderId="0" xfId="93" applyFont="1" applyFill="1"/>
    <xf numFmtId="0" fontId="42" fillId="0" borderId="0" xfId="0" applyFont="1"/>
    <xf numFmtId="0" fontId="10" fillId="0" borderId="0" xfId="87" applyFont="1" applyFill="1" applyBorder="1" applyAlignment="1" applyProtection="1">
      <alignment horizontal="center" vertical="center" wrapText="1"/>
    </xf>
    <xf numFmtId="0" fontId="11" fillId="0" borderId="17" xfId="87" applyFont="1" applyFill="1" applyBorder="1" applyAlignment="1" applyProtection="1">
      <alignment horizontal="left" vertical="center" wrapText="1"/>
    </xf>
    <xf numFmtId="0" fontId="11" fillId="0" borderId="18" xfId="87" applyFont="1" applyFill="1" applyBorder="1" applyAlignment="1" applyProtection="1">
      <alignment horizontal="left" vertical="center" wrapText="1"/>
    </xf>
    <xf numFmtId="0" fontId="11" fillId="0" borderId="19" xfId="87" applyFont="1" applyFill="1" applyBorder="1" applyAlignment="1" applyProtection="1">
      <alignment horizontal="left" vertical="center" wrapText="1"/>
    </xf>
    <xf numFmtId="0" fontId="11" fillId="0" borderId="0" xfId="87" applyFont="1" applyFill="1" applyBorder="1" applyAlignment="1" applyProtection="1">
      <alignment horizontal="left" vertical="center" wrapText="1"/>
    </xf>
    <xf numFmtId="181" fontId="20" fillId="0" borderId="66" xfId="93" applyFont="1" applyFill="1" applyBorder="1" applyAlignment="1" applyProtection="1">
      <alignment horizontal="left" vertical="center"/>
    </xf>
    <xf numFmtId="181" fontId="20" fillId="0" borderId="9" xfId="93" applyFont="1" applyFill="1" applyBorder="1" applyAlignment="1" applyProtection="1">
      <alignment horizontal="left" vertical="center"/>
    </xf>
    <xf numFmtId="1" fontId="4" fillId="2" borderId="34" xfId="93" applyNumberFormat="1" applyFont="1" applyFill="1" applyBorder="1" applyAlignment="1" applyProtection="1">
      <alignment vertical="center"/>
      <protection locked="0"/>
    </xf>
    <xf numFmtId="181" fontId="20" fillId="0" borderId="33" xfId="93" applyFont="1" applyFill="1" applyBorder="1" applyAlignment="1" applyProtection="1">
      <alignment horizontal="left" vertical="center"/>
    </xf>
    <xf numFmtId="181" fontId="20" fillId="0" borderId="13" xfId="93" applyFont="1" applyFill="1" applyBorder="1" applyAlignment="1" applyProtection="1">
      <alignment horizontal="left" vertical="center"/>
    </xf>
    <xf numFmtId="189" fontId="4" fillId="7" borderId="34" xfId="93" applyNumberFormat="1" applyFont="1" applyFill="1" applyBorder="1" applyAlignment="1" applyProtection="1">
      <alignment vertical="center"/>
    </xf>
    <xf numFmtId="181" fontId="20" fillId="0" borderId="33" xfId="93" applyFont="1" applyFill="1" applyBorder="1" applyAlignment="1" applyProtection="1">
      <alignment horizontal="left" vertical="center" wrapText="1"/>
    </xf>
    <xf numFmtId="181" fontId="20" fillId="0" borderId="13" xfId="93" applyFont="1" applyFill="1" applyBorder="1" applyAlignment="1" applyProtection="1">
      <alignment horizontal="left" vertical="center" wrapText="1"/>
    </xf>
    <xf numFmtId="181" fontId="20" fillId="0" borderId="23" xfId="93" applyFont="1" applyFill="1" applyBorder="1" applyAlignment="1" applyProtection="1">
      <alignment horizontal="left" vertical="center"/>
    </xf>
    <xf numFmtId="181" fontId="20" fillId="0" borderId="24" xfId="93" applyFont="1" applyFill="1" applyBorder="1" applyAlignment="1" applyProtection="1">
      <alignment horizontal="left" vertical="center"/>
    </xf>
    <xf numFmtId="181" fontId="20" fillId="0" borderId="0" xfId="93" applyFont="1" applyFill="1" applyBorder="1" applyAlignment="1" applyProtection="1">
      <alignment horizontal="left" vertical="center"/>
    </xf>
    <xf numFmtId="181" fontId="43" fillId="0" borderId="0" xfId="93" applyFont="1" applyFill="1" applyBorder="1" applyAlignment="1" applyProtection="1">
      <alignment horizontal="center"/>
    </xf>
    <xf numFmtId="181" fontId="21" fillId="0" borderId="60" xfId="93" applyFont="1" applyFill="1" applyBorder="1" applyAlignment="1" applyProtection="1">
      <alignment horizontal="left" vertical="center" wrapText="1"/>
    </xf>
    <xf numFmtId="181" fontId="21" fillId="0" borderId="32" xfId="93" applyFont="1" applyFill="1" applyBorder="1" applyAlignment="1" applyProtection="1">
      <alignment horizontal="left" vertical="center" wrapText="1"/>
    </xf>
    <xf numFmtId="1" fontId="1" fillId="2" borderId="22" xfId="93" applyNumberFormat="1" applyFont="1" applyFill="1" applyBorder="1" applyAlignment="1" applyProtection="1">
      <alignment horizontal="left" vertical="center"/>
      <protection locked="0"/>
    </xf>
    <xf numFmtId="1" fontId="1" fillId="2" borderId="14" xfId="93" applyNumberFormat="1" applyFont="1" applyFill="1" applyBorder="1" applyAlignment="1" applyProtection="1">
      <alignment horizontal="left" vertical="center"/>
      <protection locked="0"/>
    </xf>
    <xf numFmtId="189" fontId="1" fillId="2" borderId="34" xfId="93" applyNumberFormat="1" applyFont="1" applyFill="1" applyBorder="1" applyAlignment="1" applyProtection="1">
      <alignment vertical="center"/>
      <protection locked="0"/>
    </xf>
    <xf numFmtId="1" fontId="1" fillId="2" borderId="27" xfId="93" applyNumberFormat="1" applyFont="1" applyFill="1" applyBorder="1" applyAlignment="1" applyProtection="1">
      <alignment horizontal="left" vertical="center"/>
      <protection locked="0"/>
    </xf>
    <xf numFmtId="1" fontId="1" fillId="2" borderId="28" xfId="93" applyNumberFormat="1" applyFont="1" applyFill="1" applyBorder="1" applyAlignment="1" applyProtection="1">
      <alignment horizontal="left" vertical="center"/>
      <protection locked="0"/>
    </xf>
    <xf numFmtId="189" fontId="1" fillId="2" borderId="62" xfId="93" applyNumberFormat="1" applyFont="1" applyFill="1" applyBorder="1" applyAlignment="1" applyProtection="1">
      <alignment vertical="center"/>
      <protection locked="0"/>
    </xf>
    <xf numFmtId="189" fontId="1" fillId="2" borderId="36" xfId="93" applyNumberFormat="1" applyFont="1" applyFill="1" applyBorder="1" applyAlignment="1" applyProtection="1">
      <alignment vertical="center"/>
      <protection locked="0"/>
    </xf>
    <xf numFmtId="189" fontId="1" fillId="2" borderId="37" xfId="93" applyNumberFormat="1" applyFont="1" applyFill="1" applyBorder="1" applyAlignment="1" applyProtection="1">
      <alignment vertical="center"/>
      <protection locked="0"/>
    </xf>
    <xf numFmtId="189" fontId="4" fillId="7" borderId="38" xfId="93" applyNumberFormat="1" applyFont="1" applyFill="1" applyBorder="1" applyAlignment="1" applyProtection="1">
      <alignment vertical="center"/>
    </xf>
    <xf numFmtId="181" fontId="43" fillId="0" borderId="24" xfId="93" applyFont="1" applyFill="1" applyBorder="1" applyAlignment="1" applyProtection="1">
      <alignment horizontal="right"/>
    </xf>
    <xf numFmtId="1" fontId="1" fillId="2" borderId="24" xfId="93" applyNumberFormat="1" applyFont="1" applyFill="1" applyBorder="1" applyAlignment="1" applyProtection="1">
      <alignment vertical="center"/>
      <protection locked="0"/>
    </xf>
    <xf numFmtId="181" fontId="43" fillId="0" borderId="0" xfId="93" applyFont="1" applyFill="1" applyAlignment="1" applyProtection="1">
      <alignment horizontal="right"/>
    </xf>
    <xf numFmtId="181" fontId="21" fillId="0" borderId="31" xfId="93" applyFont="1" applyFill="1" applyBorder="1" applyAlignment="1" applyProtection="1">
      <alignment horizontal="left" vertical="center"/>
    </xf>
    <xf numFmtId="1" fontId="1" fillId="2" borderId="2" xfId="93" applyNumberFormat="1" applyFont="1" applyFill="1" applyBorder="1" applyAlignment="1" applyProtection="1">
      <alignment horizontal="left" vertical="center"/>
      <protection locked="0"/>
    </xf>
    <xf numFmtId="1" fontId="1" fillId="2" borderId="44" xfId="93" applyNumberFormat="1" applyFont="1" applyFill="1" applyBorder="1" applyAlignment="1" applyProtection="1">
      <alignment horizontal="left" vertical="center"/>
      <protection locked="0"/>
    </xf>
    <xf numFmtId="189" fontId="1" fillId="2" borderId="2" xfId="93" applyNumberFormat="1" applyFont="1" applyFill="1" applyBorder="1" applyAlignment="1" applyProtection="1">
      <alignment vertical="center"/>
      <protection locked="0"/>
    </xf>
    <xf numFmtId="189" fontId="1" fillId="2" borderId="44" xfId="93" applyNumberFormat="1" applyFont="1" applyFill="1" applyBorder="1" applyAlignment="1" applyProtection="1">
      <alignment vertical="center"/>
      <protection locked="0"/>
    </xf>
    <xf numFmtId="189" fontId="4" fillId="7" borderId="40" xfId="93" applyNumberFormat="1" applyFont="1" applyFill="1" applyBorder="1" applyAlignment="1" applyProtection="1">
      <alignment vertical="center"/>
    </xf>
    <xf numFmtId="0" fontId="9" fillId="0" borderId="0" xfId="0" applyFont="1" applyAlignment="1" applyProtection="1">
      <alignment horizontal="center"/>
    </xf>
    <xf numFmtId="0" fontId="9" fillId="0" borderId="0" xfId="0" applyFont="1" applyFill="1" applyBorder="1" applyAlignment="1" applyProtection="1">
      <alignment horizontal="center"/>
    </xf>
    <xf numFmtId="181" fontId="9" fillId="0" borderId="16" xfId="93" applyFont="1" applyFill="1" applyBorder="1" applyAlignment="1" applyProtection="1">
      <alignment horizontal="right" vertical="center"/>
    </xf>
    <xf numFmtId="181" fontId="44" fillId="0" borderId="16" xfId="0" applyNumberFormat="1" applyFont="1" applyBorder="1" applyProtection="1"/>
    <xf numFmtId="0" fontId="9" fillId="0" borderId="0" xfId="0" applyFont="1"/>
    <xf numFmtId="0" fontId="9" fillId="0" borderId="16" xfId="0" applyFont="1" applyBorder="1"/>
    <xf numFmtId="0" fontId="9" fillId="0" borderId="68" xfId="0" applyFont="1" applyBorder="1" applyAlignment="1">
      <alignment horizontal="left" vertical="center" wrapText="1"/>
    </xf>
    <xf numFmtId="0" fontId="9" fillId="0" borderId="69" xfId="0" applyFont="1" applyBorder="1" applyAlignment="1">
      <alignment horizontal="left" vertical="center" wrapText="1"/>
    </xf>
    <xf numFmtId="0" fontId="9" fillId="0" borderId="70" xfId="0" applyFont="1" applyBorder="1" applyAlignment="1">
      <alignment horizontal="left" vertical="center" wrapText="1"/>
    </xf>
    <xf numFmtId="4" fontId="44" fillId="0" borderId="71" xfId="0" applyNumberFormat="1" applyFont="1" applyBorder="1" applyAlignment="1">
      <alignment horizontal="right" vertical="center"/>
    </xf>
    <xf numFmtId="0" fontId="9" fillId="0" borderId="72" xfId="0" applyFont="1" applyBorder="1" applyAlignment="1">
      <alignment horizontal="left" vertical="center" wrapText="1"/>
    </xf>
    <xf numFmtId="0" fontId="9" fillId="0" borderId="73" xfId="0" applyFont="1" applyBorder="1" applyAlignment="1">
      <alignment horizontal="left" vertical="center" wrapText="1"/>
    </xf>
    <xf numFmtId="0" fontId="9" fillId="0" borderId="74" xfId="0" applyFont="1" applyBorder="1" applyAlignment="1">
      <alignment horizontal="left" vertical="center" wrapText="1"/>
    </xf>
    <xf numFmtId="4" fontId="44" fillId="0" borderId="75" xfId="0" applyNumberFormat="1" applyFont="1" applyBorder="1" applyAlignment="1">
      <alignment horizontal="right" vertical="center"/>
    </xf>
    <xf numFmtId="0" fontId="9" fillId="0" borderId="16" xfId="0" applyFont="1" applyBorder="1" applyAlignment="1">
      <alignment horizontal="left"/>
    </xf>
    <xf numFmtId="4" fontId="44" fillId="0" borderId="16" xfId="0" applyNumberFormat="1" applyFont="1" applyBorder="1" applyAlignment="1">
      <alignment horizontal="right" vertical="center"/>
    </xf>
    <xf numFmtId="0" fontId="9" fillId="0" borderId="0" xfId="0" applyFont="1" applyAlignment="1">
      <alignment horizontal="left"/>
    </xf>
    <xf numFmtId="4" fontId="44" fillId="0" borderId="16" xfId="0" applyNumberFormat="1" applyFont="1" applyBorder="1" applyAlignment="1">
      <alignment vertical="center"/>
    </xf>
    <xf numFmtId="4" fontId="4" fillId="0" borderId="16" xfId="0" applyNumberFormat="1" applyFont="1" applyBorder="1" applyAlignment="1">
      <alignment vertical="center"/>
    </xf>
    <xf numFmtId="0" fontId="0" fillId="7" borderId="0" xfId="0" applyFill="1" applyProtection="1"/>
    <xf numFmtId="0" fontId="15" fillId="7" borderId="0" xfId="0" applyFont="1" applyFill="1" applyProtection="1"/>
    <xf numFmtId="0" fontId="45" fillId="0" borderId="0" xfId="0" applyFont="1" applyFill="1" applyBorder="1" applyAlignment="1" applyProtection="1">
      <alignment vertical="center"/>
    </xf>
    <xf numFmtId="0" fontId="45" fillId="0" borderId="24" xfId="0" applyFont="1" applyFill="1" applyBorder="1" applyAlignment="1" applyProtection="1">
      <alignment horizontal="left" vertical="center"/>
    </xf>
    <xf numFmtId="0" fontId="10" fillId="0" borderId="17" xfId="87" applyFont="1" applyFill="1" applyBorder="1" applyAlignment="1" applyProtection="1">
      <alignment horizontal="left" vertical="center"/>
    </xf>
    <xf numFmtId="0" fontId="10" fillId="0" borderId="18" xfId="87" applyFont="1" applyFill="1" applyBorder="1" applyAlignment="1" applyProtection="1">
      <alignment horizontal="left" vertical="center"/>
    </xf>
    <xf numFmtId="0" fontId="10" fillId="0" borderId="19" xfId="87" applyFont="1" applyFill="1" applyBorder="1" applyAlignment="1" applyProtection="1">
      <alignment horizontal="left" vertical="center"/>
    </xf>
    <xf numFmtId="0" fontId="46" fillId="0" borderId="0" xfId="0" applyFont="1" applyFill="1" applyBorder="1" applyProtection="1"/>
    <xf numFmtId="0" fontId="1" fillId="0" borderId="26" xfId="86" applyFont="1" applyFill="1" applyBorder="1" applyAlignment="1" applyProtection="1">
      <alignment horizontal="left" vertical="center"/>
    </xf>
    <xf numFmtId="0" fontId="1" fillId="0" borderId="0" xfId="86" applyFont="1" applyFill="1" applyBorder="1" applyAlignment="1" applyProtection="1">
      <alignment horizontal="left" vertical="center"/>
    </xf>
    <xf numFmtId="0" fontId="1" fillId="0" borderId="8" xfId="86" applyFont="1" applyFill="1" applyBorder="1" applyAlignment="1" applyProtection="1">
      <alignment horizontal="left" vertical="center"/>
    </xf>
    <xf numFmtId="189" fontId="1" fillId="2" borderId="13" xfId="90" applyNumberFormat="1" applyFont="1" applyFill="1" applyBorder="1" applyAlignment="1" applyProtection="1">
      <alignment horizontal="center" vertical="center"/>
      <protection locked="0"/>
    </xf>
    <xf numFmtId="0" fontId="0" fillId="0" borderId="21" xfId="0" applyFill="1" applyBorder="1" applyProtection="1"/>
    <xf numFmtId="0" fontId="47" fillId="0" borderId="20" xfId="86" applyFont="1" applyFill="1" applyBorder="1" applyAlignment="1" applyProtection="1">
      <alignment horizontal="left" vertical="center"/>
    </xf>
    <xf numFmtId="0" fontId="47" fillId="0" borderId="12" xfId="86" applyFont="1" applyFill="1" applyBorder="1" applyAlignment="1" applyProtection="1">
      <alignment horizontal="left" vertical="center"/>
    </xf>
    <xf numFmtId="0" fontId="47" fillId="0" borderId="11" xfId="86" applyFont="1" applyFill="1" applyBorder="1" applyAlignment="1" applyProtection="1">
      <alignment horizontal="left" vertical="center"/>
    </xf>
    <xf numFmtId="0" fontId="1" fillId="0" borderId="22" xfId="86" applyFont="1" applyFill="1" applyBorder="1" applyAlignment="1" applyProtection="1">
      <alignment horizontal="left" vertical="center"/>
    </xf>
    <xf numFmtId="0" fontId="1" fillId="0" borderId="14" xfId="86" applyFont="1" applyFill="1" applyBorder="1" applyAlignment="1" applyProtection="1">
      <alignment horizontal="left" vertical="center"/>
    </xf>
    <xf numFmtId="0" fontId="1" fillId="0" borderId="2" xfId="86" applyFont="1" applyFill="1" applyBorder="1" applyAlignment="1" applyProtection="1">
      <alignment horizontal="left" vertical="center"/>
    </xf>
    <xf numFmtId="182" fontId="1" fillId="2" borderId="13" xfId="0" applyNumberFormat="1" applyFont="1" applyFill="1" applyBorder="1" applyAlignment="1" applyProtection="1">
      <alignment horizontal="right"/>
      <protection locked="0"/>
    </xf>
    <xf numFmtId="0" fontId="6" fillId="0" borderId="0" xfId="0" applyFont="1" applyFill="1" applyBorder="1" applyProtection="1"/>
    <xf numFmtId="0" fontId="6" fillId="0" borderId="21" xfId="0" applyFont="1" applyFill="1" applyBorder="1" applyProtection="1"/>
    <xf numFmtId="183" fontId="1" fillId="2" borderId="13" xfId="0" applyNumberFormat="1" applyFont="1" applyFill="1" applyBorder="1" applyAlignment="1" applyProtection="1">
      <alignment horizontal="center"/>
      <protection locked="0"/>
    </xf>
    <xf numFmtId="0" fontId="1" fillId="0" borderId="22" xfId="86" applyFont="1" applyFill="1" applyBorder="1" applyAlignment="1" applyProtection="1">
      <alignment horizontal="left"/>
    </xf>
    <xf numFmtId="0" fontId="1" fillId="0" borderId="14" xfId="86" applyFont="1" applyFill="1" applyBorder="1" applyAlignment="1" applyProtection="1">
      <alignment horizontal="left"/>
    </xf>
    <xf numFmtId="0" fontId="1" fillId="0" borderId="2" xfId="86" applyFont="1" applyFill="1" applyBorder="1" applyAlignment="1" applyProtection="1">
      <alignment horizontal="left"/>
    </xf>
    <xf numFmtId="183" fontId="1" fillId="2" borderId="13" xfId="0" applyNumberFormat="1" applyFont="1" applyFill="1" applyBorder="1" applyAlignment="1" applyProtection="1">
      <alignment horizontal="right"/>
      <protection locked="0"/>
    </xf>
    <xf numFmtId="0" fontId="0" fillId="0" borderId="23" xfId="0" applyFill="1" applyBorder="1" applyProtection="1"/>
    <xf numFmtId="0" fontId="0" fillId="0" borderId="24" xfId="0" applyFill="1" applyBorder="1" applyProtection="1"/>
    <xf numFmtId="0" fontId="0" fillId="0" borderId="25" xfId="0" applyFill="1" applyBorder="1" applyProtection="1"/>
    <xf numFmtId="0" fontId="1" fillId="0" borderId="20" xfId="86" applyFont="1" applyFill="1" applyBorder="1" applyAlignment="1" applyProtection="1">
      <alignment horizontal="left" vertical="center"/>
    </xf>
    <xf numFmtId="0" fontId="1" fillId="0" borderId="12" xfId="86" applyFont="1" applyFill="1" applyBorder="1" applyAlignment="1" applyProtection="1">
      <alignment horizontal="left" vertical="center"/>
    </xf>
    <xf numFmtId="0" fontId="1" fillId="0" borderId="11" xfId="86" applyFont="1" applyFill="1" applyBorder="1" applyAlignment="1" applyProtection="1">
      <alignment horizontal="left" vertical="center"/>
    </xf>
    <xf numFmtId="0" fontId="1" fillId="0" borderId="26" xfId="86" applyFont="1" applyFill="1" applyBorder="1" applyProtection="1">
      <alignment vertical="center"/>
    </xf>
    <xf numFmtId="0" fontId="4" fillId="0" borderId="0" xfId="86" applyFill="1" applyBorder="1" applyProtection="1">
      <alignment vertical="center"/>
    </xf>
    <xf numFmtId="182" fontId="1" fillId="0" borderId="0" xfId="0" applyNumberFormat="1" applyFont="1" applyFill="1" applyBorder="1" applyAlignment="1" applyProtection="1">
      <alignment horizontal="right"/>
    </xf>
    <xf numFmtId="0" fontId="11" fillId="0" borderId="26" xfId="87" applyFont="1" applyFill="1" applyBorder="1" applyAlignment="1" applyProtection="1">
      <alignment horizontal="left"/>
    </xf>
    <xf numFmtId="0" fontId="11" fillId="0" borderId="0" xfId="87" applyFont="1" applyFill="1" applyBorder="1" applyAlignment="1" applyProtection="1">
      <alignment horizontal="left"/>
    </xf>
    <xf numFmtId="0" fontId="11" fillId="0" borderId="21" xfId="87" applyFont="1" applyFill="1" applyBorder="1" applyAlignment="1" applyProtection="1">
      <alignment horizontal="left"/>
    </xf>
    <xf numFmtId="0" fontId="48" fillId="0" borderId="26" xfId="0" applyFont="1" applyFill="1" applyBorder="1" applyAlignment="1" applyProtection="1">
      <alignment horizontal="left" vertical="center"/>
    </xf>
    <xf numFmtId="0" fontId="48" fillId="0" borderId="0" xfId="0" applyFont="1" applyFill="1" applyBorder="1" applyAlignment="1" applyProtection="1">
      <alignment horizontal="left" vertical="center"/>
    </xf>
    <xf numFmtId="0" fontId="48" fillId="0" borderId="0" xfId="0" applyFont="1" applyFill="1" applyBorder="1" applyAlignment="1" applyProtection="1">
      <alignment horizontal="center" vertical="center" wrapText="1"/>
    </xf>
    <xf numFmtId="190" fontId="1" fillId="2" borderId="13" xfId="90" applyNumberFormat="1" applyFont="1" applyFill="1" applyBorder="1" applyAlignment="1" applyProtection="1">
      <alignment vertical="center"/>
      <protection locked="0"/>
    </xf>
    <xf numFmtId="189" fontId="1" fillId="2" borderId="13" xfId="90" applyNumberFormat="1" applyFont="1" applyFill="1" applyBorder="1" applyAlignment="1" applyProtection="1">
      <alignment vertical="center"/>
      <protection locked="0"/>
    </xf>
    <xf numFmtId="3" fontId="1" fillId="2" borderId="13" xfId="90" applyNumberFormat="1" applyFont="1" applyFill="1" applyBorder="1" applyAlignment="1" applyProtection="1">
      <alignment vertical="center"/>
      <protection locked="0"/>
    </xf>
    <xf numFmtId="0" fontId="48" fillId="0" borderId="0" xfId="85" applyFont="1" applyFill="1" applyBorder="1" applyProtection="1">
      <alignment horizontal="center" vertical="center" wrapText="1"/>
    </xf>
    <xf numFmtId="189" fontId="1" fillId="0" borderId="0" xfId="90" applyNumberFormat="1" applyFont="1" applyFill="1" applyBorder="1" applyAlignment="1" applyProtection="1">
      <alignment vertical="center"/>
    </xf>
    <xf numFmtId="0" fontId="12" fillId="0" borderId="26" xfId="87" applyFont="1" applyFill="1" applyBorder="1" applyAlignment="1" applyProtection="1">
      <alignment horizontal="left"/>
    </xf>
    <xf numFmtId="0" fontId="12" fillId="0" borderId="0" xfId="87" applyFont="1" applyFill="1" applyBorder="1" applyAlignment="1" applyProtection="1">
      <alignment horizontal="left"/>
    </xf>
    <xf numFmtId="0" fontId="12" fillId="0" borderId="21" xfId="87" applyFont="1" applyFill="1" applyBorder="1" applyAlignment="1" applyProtection="1">
      <alignment horizontal="left"/>
    </xf>
    <xf numFmtId="0" fontId="48" fillId="0" borderId="26" xfId="0" applyFont="1" applyFill="1" applyBorder="1" applyAlignment="1" applyProtection="1">
      <alignment horizontal="left"/>
    </xf>
    <xf numFmtId="0" fontId="48" fillId="0" borderId="0" xfId="0" applyFont="1" applyFill="1" applyBorder="1" applyAlignment="1" applyProtection="1">
      <alignment horizontal="left"/>
    </xf>
    <xf numFmtId="0" fontId="48" fillId="0" borderId="21" xfId="0" applyFont="1" applyFill="1" applyBorder="1" applyAlignment="1" applyProtection="1">
      <alignment horizontal="left"/>
    </xf>
    <xf numFmtId="190" fontId="42" fillId="2" borderId="13" xfId="88" applyNumberFormat="1" applyFont="1" applyFill="1" applyBorder="1" applyAlignment="1" applyProtection="1">
      <alignment vertical="center"/>
      <protection locked="0"/>
    </xf>
    <xf numFmtId="0" fontId="3" fillId="0" borderId="0" xfId="85" applyFont="1" applyFill="1" applyBorder="1" applyProtection="1">
      <alignment horizontal="center" vertical="center" wrapText="1"/>
    </xf>
    <xf numFmtId="190" fontId="42" fillId="0" borderId="0" xfId="88" applyNumberFormat="1" applyFont="1" applyFill="1" applyBorder="1" applyAlignment="1" applyProtection="1">
      <alignment vertical="center"/>
    </xf>
    <xf numFmtId="0" fontId="1" fillId="0" borderId="26" xfId="86" applyFont="1" applyFill="1" applyBorder="1" applyAlignment="1" applyProtection="1">
      <alignment vertical="center"/>
    </xf>
    <xf numFmtId="0" fontId="48" fillId="0" borderId="12" xfId="85" applyFont="1" applyFill="1" applyBorder="1" applyProtection="1">
      <alignment horizontal="center" vertical="center" wrapText="1"/>
    </xf>
    <xf numFmtId="0" fontId="48" fillId="0" borderId="12" xfId="85" applyFont="1" applyFill="1" applyBorder="1" applyAlignment="1" applyProtection="1">
      <alignment horizontal="center" vertical="center" wrapText="1"/>
    </xf>
    <xf numFmtId="0" fontId="1" fillId="2" borderId="13" xfId="0" applyFont="1" applyFill="1" applyBorder="1" applyAlignment="1" applyProtection="1">
      <alignment horizontal="center" vertical="center"/>
      <protection locked="0"/>
    </xf>
    <xf numFmtId="9" fontId="42" fillId="5" borderId="13" xfId="88" applyNumberFormat="1" applyFont="1" applyFill="1" applyBorder="1" applyAlignment="1" applyProtection="1">
      <alignment vertical="center"/>
    </xf>
    <xf numFmtId="0" fontId="0" fillId="0" borderId="47" xfId="0" applyBorder="1"/>
    <xf numFmtId="0" fontId="48" fillId="0" borderId="0" xfId="85" applyFont="1" applyFill="1" applyProtection="1">
      <alignment horizontal="center" vertical="center" wrapText="1"/>
    </xf>
    <xf numFmtId="190" fontId="1" fillId="2" borderId="13" xfId="88" applyNumberFormat="1" applyFont="1" applyFill="1" applyBorder="1" applyAlignment="1" applyProtection="1">
      <alignment vertical="center"/>
      <protection locked="0"/>
    </xf>
    <xf numFmtId="190" fontId="42" fillId="5" borderId="13" xfId="90" applyNumberFormat="1" applyFont="1" applyFill="1" applyBorder="1" applyAlignment="1" applyProtection="1">
      <alignment vertical="center"/>
    </xf>
    <xf numFmtId="191" fontId="1" fillId="2" borderId="13" xfId="90" applyNumberFormat="1" applyFont="1" applyFill="1" applyBorder="1" applyAlignment="1" applyProtection="1">
      <alignment vertical="center"/>
      <protection locked="0"/>
    </xf>
    <xf numFmtId="190" fontId="1" fillId="5" borderId="13" xfId="90" applyNumberFormat="1" applyFont="1" applyFill="1" applyBorder="1" applyAlignment="1" applyProtection="1">
      <alignment vertical="center"/>
    </xf>
    <xf numFmtId="192" fontId="1" fillId="2" borderId="13" xfId="88" applyNumberFormat="1" applyFont="1" applyFill="1" applyBorder="1" applyAlignment="1" applyProtection="1">
      <alignment vertical="center"/>
      <protection locked="0"/>
    </xf>
    <xf numFmtId="192" fontId="42" fillId="5" borderId="13" xfId="90" applyNumberFormat="1" applyFont="1" applyFill="1" applyBorder="1" applyAlignment="1" applyProtection="1">
      <alignment vertical="center"/>
    </xf>
    <xf numFmtId="189" fontId="1" fillId="5" borderId="13" xfId="90" applyNumberFormat="1" applyFont="1" applyFill="1" applyBorder="1" applyAlignment="1" applyProtection="1">
      <alignment vertical="center"/>
    </xf>
    <xf numFmtId="189" fontId="1" fillId="2" borderId="13" xfId="88" applyNumberFormat="1" applyFont="1" applyFill="1" applyBorder="1" applyAlignment="1" applyProtection="1">
      <alignment vertical="center"/>
      <protection locked="0"/>
    </xf>
    <xf numFmtId="3" fontId="1" fillId="2" borderId="13" xfId="88" applyNumberFormat="1" applyFont="1" applyFill="1" applyBorder="1" applyAlignment="1" applyProtection="1">
      <alignment vertical="center"/>
      <protection locked="0"/>
    </xf>
    <xf numFmtId="192" fontId="1" fillId="0" borderId="0" xfId="88" applyNumberFormat="1" applyFont="1" applyFill="1" applyBorder="1" applyAlignment="1" applyProtection="1">
      <alignment vertical="center"/>
    </xf>
    <xf numFmtId="192" fontId="42" fillId="0" borderId="0" xfId="90" applyNumberFormat="1" applyFont="1" applyFill="1" applyBorder="1" applyAlignment="1" applyProtection="1">
      <alignment vertical="center"/>
    </xf>
    <xf numFmtId="191" fontId="1" fillId="0" borderId="0" xfId="90" applyNumberFormat="1" applyFont="1" applyFill="1" applyBorder="1" applyAlignment="1" applyProtection="1">
      <alignment vertical="center"/>
    </xf>
    <xf numFmtId="0" fontId="9" fillId="0" borderId="0" xfId="0" applyFont="1" applyFill="1" applyBorder="1" applyProtection="1">
      <protection hidden="1"/>
    </xf>
    <xf numFmtId="0" fontId="1" fillId="2" borderId="3" xfId="0" applyNumberFormat="1" applyFont="1" applyFill="1" applyBorder="1" applyAlignment="1" applyProtection="1">
      <alignment horizontal="center" vertical="center"/>
      <protection locked="0"/>
    </xf>
    <xf numFmtId="0" fontId="1" fillId="2" borderId="9" xfId="0" applyNumberFormat="1" applyFont="1" applyFill="1" applyBorder="1" applyAlignment="1" applyProtection="1">
      <alignment horizontal="center" vertical="center"/>
      <protection locked="0"/>
    </xf>
    <xf numFmtId="189" fontId="1" fillId="2" borderId="2" xfId="90" applyNumberFormat="1" applyFont="1" applyFill="1" applyBorder="1" applyAlignment="1" applyProtection="1">
      <alignment vertical="center"/>
      <protection locked="0"/>
    </xf>
    <xf numFmtId="0" fontId="0" fillId="3" borderId="0" xfId="0" applyFill="1" applyBorder="1" applyProtection="1"/>
    <xf numFmtId="0" fontId="1" fillId="2" borderId="3" xfId="0" applyFont="1" applyFill="1" applyBorder="1" applyAlignment="1" applyProtection="1">
      <alignment horizontal="center" vertical="center"/>
      <protection locked="0"/>
    </xf>
    <xf numFmtId="0" fontId="1" fillId="2" borderId="9" xfId="0" applyFont="1" applyFill="1" applyBorder="1" applyAlignment="1" applyProtection="1">
      <alignment horizontal="center" vertical="center"/>
      <protection locked="0"/>
    </xf>
    <xf numFmtId="0" fontId="38" fillId="7" borderId="0" xfId="0" applyFont="1" applyFill="1" applyProtection="1"/>
    <xf numFmtId="0" fontId="39" fillId="7" borderId="0" xfId="0" applyFont="1" applyFill="1" applyProtection="1"/>
    <xf numFmtId="0" fontId="0" fillId="7" borderId="0" xfId="0" applyFill="1" applyAlignment="1" applyProtection="1"/>
    <xf numFmtId="0" fontId="0" fillId="7" borderId="0" xfId="0" applyFill="1" applyAlignment="1" applyProtection="1">
      <alignment vertical="center"/>
    </xf>
    <xf numFmtId="0" fontId="0" fillId="7" borderId="0" xfId="0" applyFill="1"/>
    <xf numFmtId="0" fontId="0" fillId="7" borderId="0" xfId="0" applyFill="1" applyAlignment="1" applyProtection="1">
      <alignment vertical="center" wrapText="1"/>
    </xf>
    <xf numFmtId="0" fontId="10" fillId="0" borderId="0" xfId="0" applyFont="1" applyFill="1" applyBorder="1" applyAlignment="1" applyProtection="1">
      <alignment horizontal="left" vertical="center"/>
    </xf>
    <xf numFmtId="0" fontId="0" fillId="0" borderId="0" xfId="0" applyNumberFormat="1" applyFill="1" applyBorder="1" applyAlignment="1" applyProtection="1">
      <alignment horizontal="center" vertical="center" wrapText="1"/>
    </xf>
    <xf numFmtId="0" fontId="38" fillId="0" borderId="0" xfId="0" applyFont="1" applyFill="1" applyBorder="1" applyAlignment="1" applyProtection="1">
      <alignment vertical="center"/>
    </xf>
    <xf numFmtId="0" fontId="17" fillId="0" borderId="17" xfId="87" applyFont="1" applyFill="1" applyBorder="1" applyAlignment="1" applyProtection="1">
      <alignment horizontal="left" vertical="center"/>
    </xf>
    <xf numFmtId="0" fontId="17" fillId="0" borderId="18" xfId="87" applyFont="1" applyFill="1" applyBorder="1" applyAlignment="1" applyProtection="1">
      <alignment horizontal="left" vertical="center"/>
    </xf>
    <xf numFmtId="0" fontId="39" fillId="0" borderId="0" xfId="0" applyFont="1" applyFill="1" applyBorder="1" applyAlignment="1" applyProtection="1">
      <alignment vertical="center"/>
    </xf>
    <xf numFmtId="0" fontId="49" fillId="0" borderId="26" xfId="0" applyFont="1" applyFill="1" applyBorder="1" applyAlignment="1" applyProtection="1">
      <alignment vertical="center"/>
    </xf>
    <xf numFmtId="0" fontId="49" fillId="0" borderId="0" xfId="0" applyFont="1" applyFill="1" applyBorder="1" applyAlignment="1" applyProtection="1">
      <alignment horizontal="right" vertical="center"/>
    </xf>
    <xf numFmtId="0" fontId="35" fillId="0" borderId="0" xfId="85" applyFont="1" applyFill="1" applyAlignment="1" applyProtection="1">
      <alignment horizontal="center" vertical="center" wrapText="1"/>
    </xf>
    <xf numFmtId="0" fontId="50" fillId="0" borderId="0" xfId="0" applyFont="1" applyFill="1" applyBorder="1" applyAlignment="1" applyProtection="1">
      <alignment vertical="center"/>
    </xf>
    <xf numFmtId="0" fontId="0" fillId="0" borderId="0" xfId="0" applyFill="1" applyBorder="1" applyAlignment="1" applyProtection="1"/>
    <xf numFmtId="0" fontId="4" fillId="0" borderId="20" xfId="86" applyFill="1" applyBorder="1" applyAlignment="1" applyProtection="1">
      <alignment horizontal="left"/>
    </xf>
    <xf numFmtId="0" fontId="4" fillId="0" borderId="12" xfId="86" applyFill="1" applyBorder="1" applyAlignment="1" applyProtection="1">
      <alignment horizontal="left"/>
    </xf>
    <xf numFmtId="193" fontId="1" fillId="0" borderId="12" xfId="88" applyNumberFormat="1" applyFont="1" applyFill="1" applyBorder="1" applyAlignment="1" applyProtection="1">
      <alignment horizontal="center"/>
    </xf>
    <xf numFmtId="193" fontId="1" fillId="0" borderId="12" xfId="88" applyNumberFormat="1" applyFill="1" applyBorder="1" applyAlignment="1" applyProtection="1">
      <alignment horizontal="center"/>
    </xf>
    <xf numFmtId="0" fontId="4" fillId="0" borderId="0" xfId="86" applyFill="1" applyBorder="1" applyAlignment="1" applyProtection="1">
      <alignment horizontal="center"/>
    </xf>
    <xf numFmtId="0" fontId="0" fillId="0" borderId="0" xfId="0" applyFill="1" applyBorder="1" applyAlignment="1" applyProtection="1">
      <alignment vertical="center"/>
    </xf>
    <xf numFmtId="0" fontId="51" fillId="0" borderId="47" xfId="0" applyFont="1" applyFill="1" applyBorder="1" applyAlignment="1" applyProtection="1">
      <alignment horizontal="right" vertical="center"/>
    </xf>
    <xf numFmtId="0" fontId="51" fillId="0" borderId="5" xfId="0" applyFont="1" applyFill="1" applyBorder="1" applyAlignment="1" applyProtection="1">
      <alignment horizontal="right" vertical="center"/>
    </xf>
    <xf numFmtId="194" fontId="1" fillId="5" borderId="9" xfId="0" applyNumberFormat="1" applyFont="1" applyFill="1" applyBorder="1" applyAlignment="1" applyProtection="1">
      <alignment vertical="center"/>
    </xf>
    <xf numFmtId="0" fontId="52" fillId="0" borderId="0" xfId="0" applyFont="1" applyFill="1" applyBorder="1" applyAlignment="1" applyProtection="1">
      <alignment horizontal="center" vertical="center"/>
    </xf>
    <xf numFmtId="195" fontId="1" fillId="5" borderId="9" xfId="0" applyNumberFormat="1" applyFont="1" applyFill="1" applyBorder="1" applyAlignment="1" applyProtection="1">
      <alignment vertical="center"/>
    </xf>
    <xf numFmtId="0" fontId="51" fillId="0" borderId="3" xfId="0" applyFont="1" applyFill="1" applyBorder="1" applyAlignment="1" applyProtection="1">
      <alignment vertical="center"/>
    </xf>
    <xf numFmtId="0" fontId="51" fillId="0" borderId="26" xfId="0" applyFont="1" applyFill="1" applyBorder="1" applyAlignment="1" applyProtection="1">
      <alignment horizontal="right" vertical="center"/>
    </xf>
    <xf numFmtId="0" fontId="51" fillId="0" borderId="8" xfId="0" applyFont="1" applyFill="1" applyBorder="1" applyAlignment="1" applyProtection="1">
      <alignment horizontal="right" vertical="center"/>
    </xf>
    <xf numFmtId="194" fontId="1" fillId="5" borderId="13" xfId="0" applyNumberFormat="1" applyFont="1" applyFill="1" applyBorder="1" applyAlignment="1" applyProtection="1">
      <alignment vertical="center"/>
    </xf>
    <xf numFmtId="195" fontId="1" fillId="5" borderId="13" xfId="0" applyNumberFormat="1" applyFont="1" applyFill="1" applyBorder="1" applyAlignment="1" applyProtection="1">
      <alignment vertical="center"/>
    </xf>
    <xf numFmtId="0" fontId="51" fillId="0" borderId="0" xfId="0" applyFont="1" applyFill="1" applyBorder="1" applyAlignment="1" applyProtection="1">
      <alignment vertical="center"/>
    </xf>
    <xf numFmtId="196" fontId="1" fillId="5" borderId="13" xfId="0" applyNumberFormat="1" applyFont="1" applyFill="1" applyBorder="1" applyAlignment="1" applyProtection="1">
      <alignment vertical="center"/>
    </xf>
    <xf numFmtId="192" fontId="1" fillId="0" borderId="12" xfId="90" applyNumberFormat="1" applyFill="1" applyBorder="1" applyAlignment="1" applyProtection="1">
      <alignment horizontal="center"/>
    </xf>
    <xf numFmtId="0" fontId="4" fillId="0" borderId="20" xfId="86" applyFont="1" applyFill="1" applyBorder="1" applyAlignment="1" applyProtection="1">
      <alignment horizontal="left"/>
    </xf>
    <xf numFmtId="0" fontId="4" fillId="0" borderId="12" xfId="86" applyFont="1" applyFill="1" applyBorder="1" applyAlignment="1" applyProtection="1">
      <alignment horizontal="left"/>
    </xf>
    <xf numFmtId="0" fontId="51" fillId="0" borderId="0" xfId="0" applyFont="1" applyFill="1" applyBorder="1" applyAlignment="1" applyProtection="1"/>
    <xf numFmtId="0" fontId="4" fillId="0" borderId="20" xfId="86" applyFont="1" applyFill="1" applyBorder="1" applyAlignment="1" applyProtection="1"/>
    <xf numFmtId="0" fontId="4" fillId="0" borderId="12" xfId="86" applyFill="1" applyAlignment="1" applyProtection="1"/>
    <xf numFmtId="0" fontId="4" fillId="0" borderId="20" xfId="86" applyFill="1" applyBorder="1" applyAlignment="1" applyProtection="1"/>
    <xf numFmtId="0" fontId="53" fillId="0" borderId="26" xfId="0" applyFont="1" applyFill="1" applyBorder="1" applyAlignment="1" applyProtection="1">
      <alignment horizontal="right" vertical="center"/>
    </xf>
    <xf numFmtId="0" fontId="51" fillId="0" borderId="0" xfId="0" applyFont="1" applyFill="1" applyBorder="1" applyAlignment="1" applyProtection="1">
      <alignment horizontal="right" vertical="center"/>
    </xf>
    <xf numFmtId="0" fontId="51" fillId="0" borderId="4" xfId="0" applyFont="1" applyFill="1" applyBorder="1" applyAlignment="1" applyProtection="1">
      <alignment vertical="center"/>
    </xf>
    <xf numFmtId="0" fontId="51" fillId="0" borderId="15" xfId="0" applyFont="1" applyFill="1" applyBorder="1" applyAlignment="1" applyProtection="1">
      <alignment vertical="center"/>
    </xf>
    <xf numFmtId="0" fontId="51" fillId="0" borderId="26" xfId="0" applyFont="1" applyFill="1" applyBorder="1" applyAlignment="1" applyProtection="1">
      <alignment vertical="center"/>
    </xf>
    <xf numFmtId="195" fontId="54" fillId="0" borderId="0" xfId="0" applyNumberFormat="1" applyFont="1" applyFill="1" applyBorder="1" applyAlignment="1" applyProtection="1">
      <alignment horizontal="right" vertical="center"/>
    </xf>
    <xf numFmtId="0" fontId="15" fillId="0" borderId="26" xfId="87" applyFont="1" applyFill="1" applyBorder="1" applyAlignment="1" applyProtection="1">
      <alignment horizontal="left" vertical="center"/>
    </xf>
    <xf numFmtId="0" fontId="15" fillId="0" borderId="0" xfId="87" applyFont="1" applyFill="1" applyBorder="1" applyAlignment="1" applyProtection="1">
      <alignment horizontal="left" vertical="center"/>
    </xf>
    <xf numFmtId="0" fontId="53" fillId="0" borderId="0" xfId="0" applyFont="1" applyFill="1" applyBorder="1" applyAlignment="1" applyProtection="1">
      <alignment horizontal="center" vertical="center"/>
    </xf>
    <xf numFmtId="43" fontId="1" fillId="0" borderId="0" xfId="1" applyFont="1" applyFill="1" applyBorder="1" applyAlignment="1" applyProtection="1">
      <alignment horizontal="center" vertical="center" wrapText="1"/>
    </xf>
    <xf numFmtId="0" fontId="17" fillId="0" borderId="19" xfId="87" applyFont="1" applyFill="1" applyBorder="1" applyAlignment="1" applyProtection="1">
      <alignment horizontal="left" vertical="center"/>
    </xf>
    <xf numFmtId="0" fontId="19" fillId="0" borderId="0" xfId="85" applyFont="1" applyFill="1" applyAlignment="1" applyProtection="1">
      <alignment horizontal="center" vertical="center" wrapText="1"/>
    </xf>
    <xf numFmtId="0" fontId="35" fillId="0" borderId="0" xfId="0" applyFont="1" applyFill="1" applyBorder="1" applyAlignment="1" applyProtection="1">
      <alignment horizontal="center" vertical="center"/>
    </xf>
    <xf numFmtId="0" fontId="49" fillId="0" borderId="21" xfId="0" applyFont="1" applyFill="1" applyBorder="1" applyAlignment="1" applyProtection="1">
      <alignment vertical="center"/>
    </xf>
    <xf numFmtId="193" fontId="1" fillId="0" borderId="0" xfId="88" applyNumberFormat="1" applyFill="1" applyBorder="1" applyAlignment="1" applyProtection="1">
      <alignment horizontal="center"/>
    </xf>
    <xf numFmtId="0" fontId="0" fillId="0" borderId="21" xfId="0" applyFill="1" applyBorder="1" applyAlignment="1" applyProtection="1"/>
    <xf numFmtId="195" fontId="1" fillId="0" borderId="3" xfId="0" applyNumberFormat="1" applyFont="1" applyFill="1" applyBorder="1" applyAlignment="1" applyProtection="1">
      <alignment vertical="center"/>
    </xf>
    <xf numFmtId="195" fontId="1" fillId="5" borderId="1" xfId="0" applyNumberFormat="1" applyFont="1" applyFill="1" applyBorder="1" applyAlignment="1" applyProtection="1">
      <alignment horizontal="right" vertical="center"/>
    </xf>
    <xf numFmtId="195" fontId="1" fillId="5" borderId="2" xfId="0" applyNumberFormat="1" applyFont="1" applyFill="1" applyBorder="1" applyAlignment="1" applyProtection="1">
      <alignment horizontal="right" vertical="center"/>
    </xf>
    <xf numFmtId="195" fontId="9" fillId="3" borderId="21" xfId="0" applyNumberFormat="1" applyFont="1" applyFill="1" applyBorder="1" applyAlignment="1" applyProtection="1">
      <alignment vertical="center"/>
    </xf>
    <xf numFmtId="195" fontId="1" fillId="0" borderId="0" xfId="0" applyNumberFormat="1" applyFont="1" applyFill="1" applyBorder="1" applyAlignment="1" applyProtection="1">
      <alignment vertical="center"/>
    </xf>
    <xf numFmtId="0" fontId="0" fillId="0" borderId="21" xfId="0" applyFill="1" applyBorder="1" applyAlignment="1" applyProtection="1">
      <alignment vertical="center"/>
    </xf>
    <xf numFmtId="192" fontId="1" fillId="0" borderId="0" xfId="90" applyNumberFormat="1" applyFill="1" applyBorder="1" applyAlignment="1" applyProtection="1">
      <alignment horizontal="center"/>
    </xf>
    <xf numFmtId="0" fontId="51" fillId="0" borderId="5" xfId="0" applyFont="1" applyFill="1" applyBorder="1" applyAlignment="1" applyProtection="1">
      <alignment vertical="center"/>
    </xf>
    <xf numFmtId="195" fontId="1" fillId="5" borderId="13" xfId="0" applyNumberFormat="1" applyFont="1" applyFill="1" applyBorder="1" applyAlignment="1" applyProtection="1">
      <alignment horizontal="right" vertical="center"/>
    </xf>
    <xf numFmtId="195" fontId="0" fillId="0" borderId="21" xfId="0" applyNumberFormat="1" applyFill="1" applyBorder="1" applyAlignment="1" applyProtection="1">
      <alignment vertical="center"/>
    </xf>
    <xf numFmtId="0" fontId="9" fillId="0" borderId="21" xfId="0" applyFont="1" applyFill="1" applyBorder="1" applyAlignment="1" applyProtection="1">
      <alignment vertical="center"/>
    </xf>
    <xf numFmtId="0" fontId="5" fillId="0" borderId="0" xfId="85" applyFont="1" applyFill="1" applyAlignment="1" applyProtection="1">
      <alignment horizontal="center" vertical="center"/>
    </xf>
    <xf numFmtId="0" fontId="55" fillId="0" borderId="21" xfId="0" applyFont="1" applyFill="1" applyBorder="1" applyAlignment="1" applyProtection="1">
      <alignment vertical="center"/>
    </xf>
    <xf numFmtId="195" fontId="20" fillId="5" borderId="1" xfId="0" applyNumberFormat="1" applyFont="1" applyFill="1" applyBorder="1" applyAlignment="1" applyProtection="1">
      <alignment vertical="center"/>
    </xf>
    <xf numFmtId="195" fontId="1" fillId="5" borderId="2" xfId="0" applyNumberFormat="1" applyFont="1" applyFill="1" applyBorder="1" applyAlignment="1" applyProtection="1">
      <alignment vertical="center"/>
    </xf>
    <xf numFmtId="195" fontId="15" fillId="0" borderId="47" xfId="0" applyNumberFormat="1" applyFont="1" applyFill="1" applyBorder="1" applyAlignment="1" applyProtection="1">
      <alignment horizontal="right" vertical="center"/>
    </xf>
    <xf numFmtId="195" fontId="15" fillId="0" borderId="15" xfId="0" applyNumberFormat="1" applyFont="1" applyFill="1" applyBorder="1" applyAlignment="1" applyProtection="1">
      <alignment horizontal="right" vertical="center"/>
    </xf>
    <xf numFmtId="0" fontId="17" fillId="0" borderId="26" xfId="86" applyFont="1" applyFill="1" applyBorder="1" applyAlignment="1" applyProtection="1">
      <alignment horizontal="right" vertical="center"/>
    </xf>
    <xf numFmtId="0" fontId="53" fillId="0" borderId="0" xfId="0" applyFont="1" applyFill="1" applyBorder="1" applyAlignment="1" applyProtection="1">
      <alignment horizontal="right" vertical="center"/>
    </xf>
    <xf numFmtId="195" fontId="51" fillId="0" borderId="0" xfId="0" applyNumberFormat="1" applyFont="1" applyFill="1" applyBorder="1" applyAlignment="1" applyProtection="1">
      <alignment vertical="center"/>
    </xf>
    <xf numFmtId="0" fontId="51" fillId="0" borderId="0" xfId="0" applyFont="1" applyFill="1" applyBorder="1" applyAlignment="1" applyProtection="1">
      <alignment horizontal="center" vertical="center"/>
    </xf>
    <xf numFmtId="0" fontId="10" fillId="0" borderId="26" xfId="87" applyFont="1" applyFill="1" applyBorder="1" applyAlignment="1" applyProtection="1">
      <alignment horizontal="left" vertical="center"/>
    </xf>
    <xf numFmtId="0" fontId="10" fillId="0" borderId="0" xfId="87" applyFont="1" applyFill="1" applyBorder="1" applyAlignment="1" applyProtection="1">
      <alignment horizontal="left" vertical="center"/>
    </xf>
    <xf numFmtId="0" fontId="39" fillId="0" borderId="26" xfId="0" applyFont="1" applyFill="1" applyBorder="1" applyAlignment="1" applyProtection="1">
      <alignment vertical="center"/>
    </xf>
    <xf numFmtId="0" fontId="39" fillId="0" borderId="0" xfId="0" applyFont="1" applyFill="1" applyBorder="1" applyAlignment="1" applyProtection="1">
      <alignment horizontal="right" vertical="center"/>
    </xf>
    <xf numFmtId="0" fontId="15" fillId="0" borderId="0" xfId="85" applyFont="1" applyFill="1" applyAlignment="1" applyProtection="1">
      <alignment horizontal="center" vertical="center" wrapText="1"/>
    </xf>
    <xf numFmtId="195" fontId="20" fillId="5" borderId="4" xfId="0" applyNumberFormat="1" applyFont="1" applyFill="1" applyBorder="1" applyAlignment="1" applyProtection="1">
      <alignment vertical="center"/>
    </xf>
    <xf numFmtId="195" fontId="1" fillId="5" borderId="5" xfId="0" applyNumberFormat="1" applyFont="1" applyFill="1" applyBorder="1" applyAlignment="1" applyProtection="1">
      <alignment vertical="center"/>
    </xf>
    <xf numFmtId="197" fontId="1" fillId="5" borderId="2" xfId="0" applyNumberFormat="1" applyFont="1" applyFill="1" applyBorder="1" applyAlignment="1" applyProtection="1">
      <alignment vertical="center"/>
    </xf>
    <xf numFmtId="195" fontId="15" fillId="0" borderId="5" xfId="0" applyNumberFormat="1" applyFont="1" applyFill="1" applyBorder="1" applyAlignment="1" applyProtection="1">
      <alignment horizontal="right" vertical="center"/>
    </xf>
    <xf numFmtId="198" fontId="35" fillId="5" borderId="1" xfId="0" applyNumberFormat="1" applyFont="1" applyFill="1" applyBorder="1" applyAlignment="1" applyProtection="1">
      <alignment horizontal="right" vertical="center"/>
    </xf>
    <xf numFmtId="198" fontId="35" fillId="5" borderId="2" xfId="0" applyNumberFormat="1" applyFont="1" applyFill="1" applyBorder="1" applyAlignment="1" applyProtection="1">
      <alignment horizontal="right" vertical="center"/>
    </xf>
    <xf numFmtId="0" fontId="0" fillId="0" borderId="14" xfId="0" applyFill="1" applyBorder="1" applyAlignment="1" applyProtection="1">
      <alignment vertical="center"/>
    </xf>
    <xf numFmtId="195" fontId="20" fillId="0" borderId="14" xfId="0" applyNumberFormat="1" applyFont="1" applyFill="1" applyBorder="1" applyAlignment="1" applyProtection="1">
      <alignment vertical="center"/>
    </xf>
    <xf numFmtId="195" fontId="1" fillId="0" borderId="12" xfId="0" applyNumberFormat="1" applyFont="1" applyFill="1" applyBorder="1" applyAlignment="1" applyProtection="1">
      <alignment vertical="center"/>
    </xf>
    <xf numFmtId="195" fontId="1" fillId="5" borderId="1" xfId="0" applyNumberFormat="1" applyFont="1" applyFill="1" applyBorder="1" applyAlignment="1" applyProtection="1">
      <alignment vertical="center"/>
    </xf>
    <xf numFmtId="195" fontId="1" fillId="0" borderId="14" xfId="0" applyNumberFormat="1" applyFont="1" applyFill="1" applyBorder="1" applyAlignment="1" applyProtection="1">
      <alignment vertical="center"/>
    </xf>
    <xf numFmtId="0" fontId="17" fillId="0" borderId="8" xfId="86" applyFont="1" applyFill="1" applyBorder="1" applyAlignment="1" applyProtection="1">
      <alignment horizontal="right" vertical="center"/>
    </xf>
    <xf numFmtId="195" fontId="17" fillId="5" borderId="13" xfId="0" applyNumberFormat="1" applyFont="1" applyFill="1" applyBorder="1" applyAlignment="1" applyProtection="1">
      <alignment horizontal="right" vertical="center"/>
    </xf>
    <xf numFmtId="195" fontId="56" fillId="0" borderId="0" xfId="0" applyNumberFormat="1" applyFont="1" applyFill="1" applyBorder="1" applyAlignment="1" applyProtection="1">
      <alignment vertical="center"/>
    </xf>
    <xf numFmtId="0" fontId="10" fillId="0" borderId="21" xfId="87" applyFont="1" applyFill="1" applyBorder="1" applyAlignment="1" applyProtection="1">
      <alignment horizontal="left" vertical="center"/>
    </xf>
    <xf numFmtId="0" fontId="12" fillId="0" borderId="0" xfId="85" applyFont="1" applyFill="1" applyAlignment="1" applyProtection="1">
      <alignment horizontal="center" vertical="center" wrapText="1"/>
    </xf>
    <xf numFmtId="0" fontId="12" fillId="0" borderId="0" xfId="0" applyFont="1" applyFill="1" applyBorder="1" applyAlignment="1" applyProtection="1">
      <alignment horizontal="center" vertical="center"/>
    </xf>
    <xf numFmtId="0" fontId="39" fillId="0" borderId="21" xfId="0" applyFont="1" applyFill="1" applyBorder="1" applyAlignment="1" applyProtection="1">
      <alignment vertical="center"/>
    </xf>
    <xf numFmtId="193" fontId="51" fillId="0" borderId="0" xfId="0" applyNumberFormat="1" applyFont="1" applyFill="1" applyBorder="1" applyAlignment="1" applyProtection="1">
      <alignment vertical="center"/>
    </xf>
    <xf numFmtId="195" fontId="57" fillId="0" borderId="0" xfId="0" applyNumberFormat="1" applyFont="1" applyFill="1" applyBorder="1" applyAlignment="1" applyProtection="1">
      <alignment vertical="center"/>
    </xf>
    <xf numFmtId="195" fontId="4" fillId="0" borderId="0" xfId="0" applyNumberFormat="1" applyFont="1" applyFill="1" applyBorder="1" applyAlignment="1" applyProtection="1">
      <alignment horizontal="right" vertical="center"/>
    </xf>
    <xf numFmtId="0" fontId="0" fillId="0" borderId="0" xfId="0" applyFill="1" applyBorder="1"/>
    <xf numFmtId="195" fontId="1" fillId="5" borderId="9" xfId="0" applyNumberFormat="1" applyFont="1" applyFill="1" applyBorder="1" applyAlignment="1" applyProtection="1">
      <alignment horizontal="right" vertical="center"/>
    </xf>
    <xf numFmtId="194" fontId="4" fillId="0" borderId="0" xfId="0" applyNumberFormat="1" applyFont="1" applyFill="1" applyBorder="1" applyAlignment="1" applyProtection="1">
      <alignment horizontal="right" vertical="center"/>
    </xf>
    <xf numFmtId="195" fontId="12" fillId="0" borderId="0" xfId="0" applyNumberFormat="1" applyFont="1" applyFill="1" applyBorder="1" applyAlignment="1" applyProtection="1">
      <alignment vertical="center"/>
    </xf>
    <xf numFmtId="0" fontId="17" fillId="0" borderId="26" xfId="0" applyFont="1" applyFill="1" applyBorder="1" applyAlignment="1" applyProtection="1">
      <alignment horizontal="right" vertical="center"/>
    </xf>
    <xf numFmtId="0" fontId="17" fillId="0" borderId="0" xfId="0" applyFont="1" applyFill="1" applyBorder="1" applyAlignment="1" applyProtection="1">
      <alignment horizontal="right" vertical="center"/>
    </xf>
    <xf numFmtId="0" fontId="1" fillId="0" borderId="23" xfId="86" applyFont="1" applyFill="1" applyBorder="1" applyProtection="1">
      <alignment vertical="center"/>
    </xf>
    <xf numFmtId="0" fontId="53" fillId="0" borderId="24" xfId="86" applyFont="1" applyFill="1" applyBorder="1" applyAlignment="1" applyProtection="1">
      <alignment vertical="center"/>
    </xf>
    <xf numFmtId="195" fontId="57" fillId="0" borderId="24" xfId="0" applyNumberFormat="1" applyFont="1" applyFill="1" applyBorder="1" applyAlignment="1" applyProtection="1">
      <alignment vertical="center"/>
    </xf>
    <xf numFmtId="0" fontId="10" fillId="0" borderId="0" xfId="87" applyFont="1" applyFill="1" applyBorder="1" applyAlignment="1" applyProtection="1">
      <alignment horizontal="right" vertical="center"/>
    </xf>
    <xf numFmtId="0" fontId="10" fillId="0" borderId="26" xfId="87" applyFont="1" applyFill="1" applyBorder="1" applyProtection="1">
      <alignment vertical="center"/>
    </xf>
    <xf numFmtId="0" fontId="15" fillId="0" borderId="26" xfId="87" applyFont="1" applyFill="1" applyBorder="1" applyAlignment="1" applyProtection="1">
      <alignment horizontal="left"/>
    </xf>
    <xf numFmtId="0" fontId="15" fillId="0" borderId="0" xfId="87" applyFont="1" applyFill="1" applyBorder="1" applyAlignment="1" applyProtection="1">
      <alignment horizontal="left"/>
    </xf>
    <xf numFmtId="0" fontId="58" fillId="0" borderId="8" xfId="0" applyFont="1" applyFill="1" applyBorder="1" applyAlignment="1" applyProtection="1">
      <alignment horizontal="right" vertical="center"/>
    </xf>
    <xf numFmtId="177" fontId="51" fillId="5" borderId="13" xfId="0" applyNumberFormat="1" applyFont="1" applyFill="1" applyBorder="1" applyAlignment="1" applyProtection="1">
      <alignment vertical="center"/>
    </xf>
    <xf numFmtId="198" fontId="1" fillId="5" borderId="13" xfId="0" applyNumberFormat="1" applyFont="1" applyFill="1" applyBorder="1" applyAlignment="1" applyProtection="1">
      <alignment vertical="center"/>
    </xf>
    <xf numFmtId="0" fontId="0" fillId="0" borderId="14" xfId="0" applyBorder="1"/>
    <xf numFmtId="0" fontId="51" fillId="0" borderId="12" xfId="0" applyFont="1" applyFill="1" applyBorder="1" applyAlignment="1" applyProtection="1">
      <alignment horizontal="right" vertical="center"/>
    </xf>
    <xf numFmtId="183" fontId="51" fillId="5" borderId="13" xfId="0" applyNumberFormat="1" applyFont="1" applyFill="1" applyBorder="1" applyAlignment="1" applyProtection="1">
      <alignment vertical="center"/>
    </xf>
    <xf numFmtId="0" fontId="1" fillId="0" borderId="47" xfId="86" applyFont="1" applyFill="1" applyBorder="1" applyAlignment="1" applyProtection="1">
      <alignment horizontal="left" vertical="center"/>
    </xf>
    <xf numFmtId="0" fontId="58" fillId="0" borderId="5" xfId="0" applyFont="1" applyFill="1" applyBorder="1" applyAlignment="1" applyProtection="1">
      <alignment horizontal="right" vertical="center"/>
    </xf>
    <xf numFmtId="0" fontId="51" fillId="0" borderId="3" xfId="0" applyFont="1" applyFill="1" applyBorder="1" applyAlignment="1" applyProtection="1">
      <alignment horizontal="center" vertical="center"/>
    </xf>
    <xf numFmtId="0" fontId="51" fillId="0" borderId="11" xfId="0" applyFont="1" applyFill="1" applyBorder="1" applyAlignment="1" applyProtection="1">
      <alignment horizontal="right" vertical="center"/>
    </xf>
    <xf numFmtId="0" fontId="51" fillId="0" borderId="9" xfId="0" applyFont="1" applyFill="1" applyBorder="1" applyAlignment="1" applyProtection="1">
      <alignment horizontal="right" vertical="center"/>
    </xf>
    <xf numFmtId="183" fontId="51" fillId="5" borderId="9" xfId="0" applyNumberFormat="1" applyFont="1" applyFill="1" applyBorder="1" applyAlignment="1" applyProtection="1">
      <alignment vertical="center"/>
    </xf>
    <xf numFmtId="49" fontId="1" fillId="0" borderId="47" xfId="86" applyNumberFormat="1" applyFont="1" applyFill="1" applyBorder="1" applyAlignment="1" applyProtection="1">
      <alignment horizontal="left" vertical="center" wrapText="1"/>
    </xf>
    <xf numFmtId="0" fontId="51" fillId="0" borderId="7" xfId="0" applyFont="1" applyFill="1" applyBorder="1" applyAlignment="1" applyProtection="1">
      <alignment horizontal="center" vertical="center"/>
    </xf>
    <xf numFmtId="49" fontId="1" fillId="0" borderId="20" xfId="86" applyNumberFormat="1" applyFont="1" applyFill="1" applyBorder="1" applyAlignment="1" applyProtection="1">
      <alignment horizontal="left" vertical="center" wrapText="1"/>
    </xf>
    <xf numFmtId="0" fontId="51" fillId="0" borderId="6" xfId="0" applyFont="1" applyFill="1" applyBorder="1" applyAlignment="1" applyProtection="1">
      <alignment horizontal="center" vertical="center"/>
    </xf>
    <xf numFmtId="0" fontId="51" fillId="0" borderId="10" xfId="0" applyFont="1" applyFill="1" applyBorder="1" applyAlignment="1" applyProtection="1">
      <alignment horizontal="center" vertical="center"/>
    </xf>
    <xf numFmtId="0" fontId="51" fillId="0" borderId="12" xfId="0" applyFont="1" applyFill="1" applyBorder="1" applyAlignment="1" applyProtection="1">
      <alignment horizontal="center" vertical="center"/>
    </xf>
    <xf numFmtId="0" fontId="0" fillId="0" borderId="0" xfId="0" applyFill="1" applyBorder="1" applyAlignment="1" applyProtection="1">
      <alignment vertical="center" wrapText="1"/>
    </xf>
    <xf numFmtId="0" fontId="1" fillId="0" borderId="22" xfId="86" applyFont="1" applyFill="1" applyBorder="1" applyAlignment="1" applyProtection="1">
      <alignment horizontal="left" vertical="center" wrapText="1"/>
    </xf>
    <xf numFmtId="0" fontId="1" fillId="0" borderId="14" xfId="86" applyFont="1" applyFill="1" applyBorder="1" applyAlignment="1" applyProtection="1">
      <alignment horizontal="left" vertical="center" wrapText="1"/>
    </xf>
    <xf numFmtId="0" fontId="1" fillId="0" borderId="12" xfId="86" applyFont="1" applyFill="1" applyBorder="1" applyAlignment="1" applyProtection="1">
      <alignment horizontal="left" vertical="center" wrapText="1"/>
    </xf>
    <xf numFmtId="0" fontId="15" fillId="0" borderId="47" xfId="87" applyFont="1" applyFill="1" applyBorder="1" applyAlignment="1" applyProtection="1">
      <alignment horizontal="right" vertical="center"/>
    </xf>
    <xf numFmtId="0" fontId="15" fillId="0" borderId="15" xfId="87" applyFont="1" applyFill="1" applyBorder="1" applyAlignment="1" applyProtection="1">
      <alignment horizontal="right" vertical="center"/>
    </xf>
    <xf numFmtId="0" fontId="12" fillId="0" borderId="26" xfId="87" applyFont="1" applyFill="1" applyBorder="1" applyAlignment="1" applyProtection="1">
      <alignment vertical="center"/>
    </xf>
    <xf numFmtId="0" fontId="12" fillId="0" borderId="0" xfId="87" applyFont="1" applyFill="1" applyBorder="1" applyAlignment="1" applyProtection="1">
      <alignment vertical="center"/>
    </xf>
    <xf numFmtId="49" fontId="4" fillId="0" borderId="23" xfId="86" applyNumberFormat="1" applyFill="1" applyBorder="1" applyAlignment="1" applyProtection="1">
      <alignment vertical="center"/>
    </xf>
    <xf numFmtId="0" fontId="58" fillId="0" borderId="24" xfId="0" applyFont="1" applyFill="1" applyBorder="1" applyAlignment="1" applyProtection="1">
      <alignment horizontal="right" vertical="center"/>
    </xf>
    <xf numFmtId="177" fontId="51" fillId="0" borderId="24" xfId="0" applyNumberFormat="1" applyFont="1" applyFill="1" applyBorder="1" applyAlignment="1" applyProtection="1">
      <alignment vertical="center"/>
    </xf>
    <xf numFmtId="0" fontId="51" fillId="0" borderId="24" xfId="0" applyFont="1" applyFill="1" applyBorder="1" applyAlignment="1" applyProtection="1">
      <alignment horizontal="center" vertical="center"/>
    </xf>
    <xf numFmtId="198" fontId="1" fillId="0" borderId="24" xfId="0" applyNumberFormat="1" applyFont="1" applyFill="1" applyBorder="1" applyAlignment="1" applyProtection="1">
      <alignment vertical="center"/>
    </xf>
    <xf numFmtId="0" fontId="51" fillId="0" borderId="24" xfId="0" applyFont="1" applyFill="1" applyBorder="1" applyAlignment="1" applyProtection="1">
      <alignment vertical="center"/>
    </xf>
    <xf numFmtId="0" fontId="10" fillId="0" borderId="18" xfId="87" applyFont="1" applyFill="1" applyBorder="1" applyAlignment="1" applyProtection="1">
      <alignment horizontal="right" vertical="center"/>
    </xf>
    <xf numFmtId="195" fontId="19" fillId="0" borderId="0" xfId="0" applyNumberFormat="1" applyFont="1" applyFill="1" applyBorder="1" applyAlignment="1" applyProtection="1">
      <alignment vertical="center"/>
    </xf>
    <xf numFmtId="195" fontId="1" fillId="0" borderId="0" xfId="0" applyNumberFormat="1" applyFont="1" applyFill="1" applyBorder="1" applyAlignment="1" applyProtection="1">
      <alignment horizontal="right" vertical="center"/>
    </xf>
    <xf numFmtId="195" fontId="9" fillId="0" borderId="0" xfId="0" applyNumberFormat="1" applyFont="1" applyFill="1" applyBorder="1" applyAlignment="1" applyProtection="1">
      <alignment horizontal="right" vertical="center"/>
    </xf>
    <xf numFmtId="0" fontId="17" fillId="0" borderId="8" xfId="0" applyFont="1" applyFill="1" applyBorder="1" applyAlignment="1" applyProtection="1">
      <alignment horizontal="right" vertical="center"/>
    </xf>
    <xf numFmtId="195" fontId="17" fillId="5" borderId="1" xfId="0" applyNumberFormat="1" applyFont="1" applyFill="1" applyBorder="1" applyAlignment="1" applyProtection="1">
      <alignment horizontal="right" vertical="center"/>
    </xf>
    <xf numFmtId="195" fontId="17" fillId="5" borderId="2" xfId="0" applyNumberFormat="1" applyFont="1" applyFill="1" applyBorder="1" applyAlignment="1" applyProtection="1">
      <alignment horizontal="right" vertical="center"/>
    </xf>
    <xf numFmtId="0" fontId="51" fillId="0" borderId="24" xfId="0" applyNumberFormat="1" applyFont="1" applyFill="1" applyBorder="1" applyAlignment="1" applyProtection="1">
      <alignment horizontal="center" vertical="center"/>
    </xf>
    <xf numFmtId="195" fontId="1" fillId="0" borderId="24" xfId="0" applyNumberFormat="1" applyFont="1" applyFill="1" applyBorder="1" applyAlignment="1" applyProtection="1">
      <alignment vertical="center"/>
    </xf>
    <xf numFmtId="0" fontId="55" fillId="0" borderId="25" xfId="0" applyFont="1" applyFill="1" applyBorder="1" applyAlignment="1" applyProtection="1">
      <alignment vertical="center"/>
    </xf>
    <xf numFmtId="0" fontId="10" fillId="0" borderId="21" xfId="87" applyFont="1" applyFill="1" applyBorder="1" applyAlignment="1" applyProtection="1">
      <alignment horizontal="right" vertical="center"/>
    </xf>
    <xf numFmtId="198" fontId="17" fillId="5" borderId="38" xfId="0" applyNumberFormat="1" applyFont="1" applyFill="1" applyBorder="1" applyAlignment="1" applyProtection="1">
      <alignment horizontal="right" vertical="center"/>
    </xf>
    <xf numFmtId="198" fontId="17" fillId="5" borderId="40" xfId="0" applyNumberFormat="1" applyFont="1" applyFill="1" applyBorder="1" applyAlignment="1" applyProtection="1">
      <alignment horizontal="right" vertical="center"/>
    </xf>
    <xf numFmtId="0" fontId="55" fillId="0" borderId="0" xfId="0" applyFont="1" applyFill="1" applyBorder="1" applyAlignment="1" applyProtection="1">
      <alignment vertical="center"/>
    </xf>
    <xf numFmtId="0" fontId="15" fillId="0" borderId="21" xfId="87" applyFont="1" applyFill="1" applyBorder="1" applyAlignment="1" applyProtection="1">
      <alignment horizontal="left"/>
    </xf>
    <xf numFmtId="0" fontId="19" fillId="0" borderId="0" xfId="0" applyFont="1" applyFill="1" applyBorder="1" applyAlignment="1" applyProtection="1">
      <alignment horizontal="center" vertical="center"/>
    </xf>
    <xf numFmtId="198" fontId="1" fillId="0" borderId="7" xfId="0" applyNumberFormat="1" applyFont="1" applyFill="1" applyBorder="1" applyAlignment="1" applyProtection="1">
      <alignment vertical="center"/>
    </xf>
    <xf numFmtId="198" fontId="1" fillId="5" borderId="13" xfId="0" applyNumberFormat="1" applyFont="1" applyFill="1" applyBorder="1" applyAlignment="1" applyProtection="1">
      <alignment horizontal="right" vertical="center"/>
    </xf>
    <xf numFmtId="0" fontId="59" fillId="0" borderId="0" xfId="0" applyFont="1" applyFill="1" applyAlignment="1" applyProtection="1">
      <alignment horizontal="right" vertical="center"/>
      <protection hidden="1"/>
    </xf>
    <xf numFmtId="198" fontId="1" fillId="0" borderId="11" xfId="0" applyNumberFormat="1" applyFont="1" applyFill="1" applyBorder="1" applyAlignment="1" applyProtection="1">
      <alignment vertical="center"/>
    </xf>
    <xf numFmtId="198" fontId="1" fillId="5" borderId="9" xfId="0" applyNumberFormat="1" applyFont="1" applyFill="1" applyBorder="1" applyAlignment="1" applyProtection="1">
      <alignment vertical="center"/>
    </xf>
    <xf numFmtId="198" fontId="1" fillId="0" borderId="8" xfId="0" applyNumberFormat="1" applyFont="1" applyFill="1" applyBorder="1" applyAlignment="1" applyProtection="1">
      <alignment vertical="center"/>
    </xf>
    <xf numFmtId="0" fontId="51" fillId="0" borderId="9" xfId="0" applyFont="1" applyFill="1" applyBorder="1" applyAlignment="1" applyProtection="1">
      <alignment horizontal="center" vertical="center"/>
    </xf>
    <xf numFmtId="198" fontId="1" fillId="0" borderId="9" xfId="0" applyNumberFormat="1" applyFont="1" applyFill="1" applyBorder="1" applyAlignment="1" applyProtection="1">
      <alignment vertical="center"/>
    </xf>
    <xf numFmtId="0" fontId="51" fillId="0" borderId="0" xfId="0" applyFont="1" applyFill="1" applyAlignment="1" applyProtection="1">
      <alignment horizontal="right" vertical="center"/>
    </xf>
    <xf numFmtId="0" fontId="51" fillId="0" borderId="8" xfId="0" applyFont="1" applyFill="1" applyBorder="1" applyAlignment="1" applyProtection="1">
      <alignment horizontal="center" vertical="center"/>
    </xf>
    <xf numFmtId="0" fontId="51" fillId="0" borderId="11" xfId="0" applyFont="1" applyFill="1" applyBorder="1" applyAlignment="1" applyProtection="1">
      <alignment horizontal="center" vertical="center"/>
    </xf>
    <xf numFmtId="0" fontId="1" fillId="0" borderId="11" xfId="86" applyFont="1" applyFill="1" applyBorder="1" applyAlignment="1" applyProtection="1">
      <alignment horizontal="left" vertical="center" wrapText="1"/>
    </xf>
    <xf numFmtId="0" fontId="20" fillId="5" borderId="1" xfId="0" applyNumberFormat="1" applyFont="1" applyFill="1" applyBorder="1" applyAlignment="1" applyProtection="1">
      <alignment vertical="center" wrapText="1"/>
    </xf>
    <xf numFmtId="195" fontId="1" fillId="5" borderId="2" xfId="0" applyNumberFormat="1" applyFont="1" applyFill="1" applyBorder="1" applyAlignment="1" applyProtection="1">
      <alignment vertical="center" wrapText="1"/>
    </xf>
    <xf numFmtId="0" fontId="55" fillId="0" borderId="52" xfId="0" applyFont="1" applyFill="1" applyBorder="1" applyAlignment="1" applyProtection="1">
      <alignment vertical="center" wrapText="1"/>
    </xf>
    <xf numFmtId="0" fontId="0" fillId="0" borderId="0" xfId="0" applyFill="1" applyAlignment="1" applyProtection="1">
      <alignment vertical="center" wrapText="1"/>
    </xf>
    <xf numFmtId="0" fontId="20" fillId="5" borderId="1" xfId="0" applyNumberFormat="1" applyFont="1" applyFill="1" applyBorder="1" applyAlignment="1" applyProtection="1">
      <alignment vertical="center"/>
    </xf>
    <xf numFmtId="0" fontId="1" fillId="0" borderId="52" xfId="0" applyFont="1" applyFill="1" applyBorder="1" applyAlignment="1" applyProtection="1">
      <alignment vertical="center"/>
    </xf>
    <xf numFmtId="0" fontId="1" fillId="0" borderId="21" xfId="0" applyFont="1" applyFill="1" applyBorder="1" applyAlignment="1" applyProtection="1">
      <alignment vertical="center"/>
    </xf>
    <xf numFmtId="198" fontId="20" fillId="5" borderId="1" xfId="0" applyNumberFormat="1" applyFont="1" applyFill="1" applyBorder="1" applyAlignment="1" applyProtection="1">
      <alignment vertical="center"/>
    </xf>
    <xf numFmtId="198" fontId="1" fillId="5" borderId="2" xfId="0" applyNumberFormat="1" applyFont="1" applyFill="1" applyBorder="1" applyAlignment="1" applyProtection="1">
      <alignment vertical="center"/>
    </xf>
    <xf numFmtId="0" fontId="15" fillId="0" borderId="5" xfId="87" applyFont="1" applyFill="1" applyBorder="1" applyAlignment="1" applyProtection="1">
      <alignment horizontal="right" vertical="center"/>
    </xf>
    <xf numFmtId="195" fontId="35" fillId="5" borderId="1" xfId="0" applyNumberFormat="1" applyFont="1" applyFill="1" applyBorder="1" applyAlignment="1" applyProtection="1">
      <alignment horizontal="right" vertical="center"/>
    </xf>
    <xf numFmtId="195" fontId="35" fillId="5" borderId="2" xfId="0" applyNumberFormat="1" applyFont="1" applyFill="1" applyBorder="1" applyAlignment="1" applyProtection="1">
      <alignment horizontal="right" vertical="center"/>
    </xf>
    <xf numFmtId="0" fontId="12" fillId="0" borderId="0" xfId="87" applyFont="1" applyFill="1" applyBorder="1" applyAlignment="1" applyProtection="1">
      <alignment horizontal="right" vertical="center"/>
    </xf>
    <xf numFmtId="195" fontId="19" fillId="0" borderId="0" xfId="0" applyNumberFormat="1" applyFont="1" applyFill="1" applyBorder="1" applyAlignment="1" applyProtection="1">
      <alignment horizontal="right" vertical="center"/>
    </xf>
    <xf numFmtId="0" fontId="55" fillId="0" borderId="52" xfId="0" applyFont="1" applyFill="1" applyBorder="1" applyAlignment="1" applyProtection="1">
      <alignment vertical="center"/>
    </xf>
    <xf numFmtId="195" fontId="35" fillId="5" borderId="13" xfId="0" applyNumberFormat="1" applyFont="1" applyFill="1" applyBorder="1" applyAlignment="1" applyProtection="1">
      <alignment horizontal="right" vertical="center"/>
    </xf>
    <xf numFmtId="198" fontId="57" fillId="0" borderId="28" xfId="0" applyNumberFormat="1" applyFont="1" applyFill="1" applyBorder="1" applyAlignment="1" applyProtection="1">
      <alignment vertical="center"/>
    </xf>
    <xf numFmtId="0" fontId="1" fillId="0" borderId="25" xfId="0" applyFont="1" applyFill="1" applyBorder="1" applyAlignment="1" applyProtection="1">
      <alignment vertical="center"/>
    </xf>
    <xf numFmtId="0" fontId="10" fillId="0" borderId="29" xfId="87" applyFont="1" applyFill="1" applyBorder="1" applyAlignment="1" applyProtection="1">
      <alignment horizontal="right" vertical="center"/>
    </xf>
    <xf numFmtId="195" fontId="17" fillId="5" borderId="60" xfId="0" applyNumberFormat="1" applyFont="1" applyFill="1" applyBorder="1" applyAlignment="1" applyProtection="1">
      <alignment horizontal="right" vertical="center"/>
    </xf>
    <xf numFmtId="195" fontId="17" fillId="5" borderId="42" xfId="0" applyNumberFormat="1" applyFont="1" applyFill="1" applyBorder="1" applyAlignment="1" applyProtection="1">
      <alignment horizontal="right" vertical="center"/>
    </xf>
    <xf numFmtId="195" fontId="60" fillId="0" borderId="0" xfId="0" applyNumberFormat="1" applyFont="1" applyFill="1" applyBorder="1" applyAlignment="1" applyProtection="1">
      <alignment vertical="center"/>
    </xf>
    <xf numFmtId="195" fontId="61" fillId="0" borderId="0" xfId="0" applyNumberFormat="1" applyFont="1" applyFill="1" applyProtection="1"/>
    <xf numFmtId="0" fontId="17" fillId="0" borderId="21" xfId="87" applyFont="1" applyFill="1" applyBorder="1" applyAlignment="1" applyProtection="1">
      <alignment horizontal="left" vertical="center"/>
    </xf>
    <xf numFmtId="0" fontId="9" fillId="3" borderId="0" xfId="0" applyFont="1" applyFill="1" applyProtection="1">
      <protection hidden="1"/>
    </xf>
    <xf numFmtId="0" fontId="1" fillId="0" borderId="27" xfId="86" applyFont="1" applyFill="1" applyBorder="1" applyAlignment="1" applyProtection="1">
      <alignment horizontal="left" vertical="center"/>
    </xf>
    <xf numFmtId="0" fontId="1" fillId="0" borderId="28" xfId="86" applyFont="1" applyFill="1" applyBorder="1" applyAlignment="1" applyProtection="1">
      <alignment horizontal="left" vertical="center"/>
    </xf>
    <xf numFmtId="0" fontId="17" fillId="0" borderId="18" xfId="86" applyFont="1" applyFill="1" applyBorder="1" applyAlignment="1" applyProtection="1">
      <alignment horizontal="right" vertical="center"/>
    </xf>
    <xf numFmtId="0" fontId="62" fillId="0" borderId="0" xfId="0" applyFont="1" applyFill="1" applyBorder="1" applyAlignment="1" applyProtection="1">
      <alignment horizontal="center" vertical="center"/>
    </xf>
    <xf numFmtId="0" fontId="17" fillId="0" borderId="0" xfId="87" applyFont="1" applyFill="1" applyBorder="1" applyAlignment="1" applyProtection="1">
      <alignment horizontal="right" vertical="center"/>
    </xf>
    <xf numFmtId="0" fontId="1" fillId="0" borderId="44" xfId="86" applyFont="1" applyFill="1" applyBorder="1" applyAlignment="1" applyProtection="1">
      <alignment horizontal="left" vertical="center"/>
    </xf>
    <xf numFmtId="195" fontId="1" fillId="5" borderId="36" xfId="0" applyNumberFormat="1" applyFont="1" applyFill="1" applyBorder="1" applyAlignment="1" applyProtection="1">
      <alignment horizontal="right" vertical="center"/>
    </xf>
    <xf numFmtId="0" fontId="17" fillId="0" borderId="29" xfId="86" applyFont="1" applyFill="1" applyBorder="1" applyAlignment="1" applyProtection="1">
      <alignment horizontal="right" vertical="center"/>
    </xf>
    <xf numFmtId="195" fontId="17" fillId="5" borderId="9" xfId="0" applyNumberFormat="1" applyFont="1" applyFill="1" applyBorder="1" applyAlignment="1" applyProtection="1">
      <alignment horizontal="right" vertical="center"/>
    </xf>
    <xf numFmtId="0" fontId="55" fillId="0" borderId="76" xfId="0" applyFont="1" applyFill="1" applyBorder="1" applyAlignment="1" applyProtection="1">
      <alignment vertical="center"/>
    </xf>
    <xf numFmtId="0" fontId="17" fillId="0" borderId="8" xfId="87" applyFont="1" applyFill="1" applyBorder="1" applyAlignment="1" applyProtection="1">
      <alignment horizontal="right" vertical="center"/>
    </xf>
    <xf numFmtId="195" fontId="60" fillId="0" borderId="7" xfId="0" applyNumberFormat="1" applyFont="1" applyFill="1" applyBorder="1" applyAlignment="1" applyProtection="1">
      <alignment vertical="center"/>
    </xf>
    <xf numFmtId="0" fontId="15" fillId="0" borderId="21" xfId="87" applyFont="1" applyFill="1" applyBorder="1" applyAlignment="1" applyProtection="1">
      <alignment horizontal="left" vertical="center"/>
    </xf>
    <xf numFmtId="195" fontId="20" fillId="5" borderId="1" xfId="0" applyNumberFormat="1" applyFont="1" applyFill="1" applyBorder="1" applyAlignment="1" applyProtection="1">
      <alignment horizontal="left" vertical="center"/>
    </xf>
    <xf numFmtId="195" fontId="1" fillId="5" borderId="11" xfId="0" applyNumberFormat="1" applyFont="1" applyFill="1" applyBorder="1" applyAlignment="1" applyProtection="1">
      <alignment vertical="center"/>
    </xf>
    <xf numFmtId="0" fontId="1" fillId="0" borderId="21" xfId="0" applyNumberFormat="1" applyFont="1" applyFill="1" applyBorder="1" applyProtection="1"/>
    <xf numFmtId="195" fontId="15" fillId="5" borderId="2" xfId="0" applyNumberFormat="1" applyFont="1" applyFill="1" applyBorder="1" applyAlignment="1" applyProtection="1">
      <alignment vertical="center"/>
    </xf>
    <xf numFmtId="0" fontId="1" fillId="0" borderId="47" xfId="86" applyFont="1" applyFill="1" applyBorder="1" applyAlignment="1" applyProtection="1">
      <alignment vertical="center"/>
    </xf>
    <xf numFmtId="0" fontId="4" fillId="0" borderId="26" xfId="86" applyFont="1" applyFill="1" applyBorder="1" applyAlignment="1" applyProtection="1">
      <alignment vertical="center"/>
    </xf>
    <xf numFmtId="195" fontId="12" fillId="0" borderId="0" xfId="0" applyNumberFormat="1" applyFont="1" applyFill="1" applyBorder="1" applyAlignment="1" applyProtection="1">
      <alignment horizontal="right" vertical="center"/>
    </xf>
    <xf numFmtId="195" fontId="20" fillId="0" borderId="14" xfId="0" applyNumberFormat="1" applyFont="1" applyFill="1" applyBorder="1" applyAlignment="1" applyProtection="1">
      <alignment horizontal="left" vertical="center"/>
    </xf>
    <xf numFmtId="195" fontId="12" fillId="0" borderId="14" xfId="0" applyNumberFormat="1" applyFont="1" applyFill="1" applyBorder="1" applyAlignment="1" applyProtection="1">
      <alignment vertical="center"/>
    </xf>
    <xf numFmtId="195" fontId="12" fillId="0" borderId="26" xfId="0" applyNumberFormat="1" applyFont="1" applyFill="1" applyBorder="1" applyAlignment="1" applyProtection="1">
      <alignment horizontal="right" vertical="center"/>
    </xf>
    <xf numFmtId="195" fontId="12" fillId="0" borderId="8" xfId="0" applyNumberFormat="1" applyFont="1" applyFill="1" applyBorder="1" applyAlignment="1" applyProtection="1">
      <alignment horizontal="right" vertical="center"/>
    </xf>
    <xf numFmtId="195" fontId="20" fillId="5" borderId="10" xfId="0" applyNumberFormat="1" applyFont="1" applyFill="1" applyBorder="1" applyAlignment="1" applyProtection="1">
      <alignment horizontal="left" vertical="center"/>
    </xf>
    <xf numFmtId="195" fontId="12" fillId="5" borderId="2" xfId="0" applyNumberFormat="1" applyFont="1" applyFill="1" applyBorder="1" applyAlignment="1" applyProtection="1">
      <alignment vertical="center"/>
    </xf>
    <xf numFmtId="0" fontId="4" fillId="0" borderId="26" xfId="86" applyFill="1" applyBorder="1" applyProtection="1">
      <alignment vertical="center"/>
    </xf>
    <xf numFmtId="0" fontId="53" fillId="0" borderId="0" xfId="86" applyFont="1" applyFill="1" applyBorder="1" applyAlignment="1" applyProtection="1">
      <alignment vertical="center"/>
    </xf>
    <xf numFmtId="195" fontId="3" fillId="0" borderId="0" xfId="0" applyNumberFormat="1" applyFont="1" applyFill="1" applyBorder="1" applyAlignment="1" applyProtection="1">
      <alignment vertical="center"/>
    </xf>
    <xf numFmtId="0" fontId="1" fillId="0" borderId="21" xfId="0" applyFont="1" applyFill="1" applyBorder="1" applyProtection="1"/>
    <xf numFmtId="195" fontId="15" fillId="5" borderId="11" xfId="0" applyNumberFormat="1" applyFont="1" applyFill="1" applyBorder="1" applyAlignment="1" applyProtection="1">
      <alignment vertical="center"/>
    </xf>
    <xf numFmtId="0" fontId="0" fillId="0" borderId="26" xfId="0" applyFill="1" applyBorder="1"/>
    <xf numFmtId="195" fontId="20" fillId="0" borderId="0" xfId="0" applyNumberFormat="1" applyFont="1" applyFill="1" applyBorder="1" applyAlignment="1" applyProtection="1">
      <alignment horizontal="left" vertical="center"/>
    </xf>
    <xf numFmtId="0" fontId="1" fillId="0" borderId="23" xfId="86" applyFont="1" applyFill="1" applyBorder="1" applyAlignment="1" applyProtection="1">
      <alignment horizontal="left" vertical="center"/>
    </xf>
    <xf numFmtId="0" fontId="1" fillId="0" borderId="24" xfId="86" applyFont="1" applyFill="1" applyBorder="1" applyAlignment="1" applyProtection="1">
      <alignment horizontal="left" vertical="center"/>
    </xf>
    <xf numFmtId="0" fontId="1" fillId="0" borderId="25" xfId="86" applyFont="1" applyFill="1" applyBorder="1" applyAlignment="1" applyProtection="1">
      <alignment horizontal="left" vertical="center"/>
    </xf>
    <xf numFmtId="195" fontId="10" fillId="0" borderId="18" xfId="0" applyNumberFormat="1" applyFont="1" applyFill="1" applyBorder="1" applyAlignment="1" applyProtection="1">
      <alignment horizontal="right" vertical="center"/>
    </xf>
    <xf numFmtId="195" fontId="10" fillId="0" borderId="29" xfId="0" applyNumberFormat="1" applyFont="1" applyFill="1" applyBorder="1" applyAlignment="1" applyProtection="1">
      <alignment horizontal="right" vertical="center"/>
    </xf>
    <xf numFmtId="195" fontId="20" fillId="5" borderId="60" xfId="0" applyNumberFormat="1" applyFont="1" applyFill="1" applyBorder="1" applyAlignment="1" applyProtection="1">
      <alignment horizontal="left" vertical="center"/>
    </xf>
    <xf numFmtId="195" fontId="10" fillId="5" borderId="42" xfId="0" applyNumberFormat="1" applyFont="1" applyFill="1" applyBorder="1" applyAlignment="1" applyProtection="1">
      <alignment vertical="center"/>
    </xf>
    <xf numFmtId="0" fontId="0" fillId="0" borderId="18" xfId="0" applyFill="1" applyBorder="1" applyProtection="1"/>
    <xf numFmtId="0" fontId="4" fillId="0" borderId="24" xfId="86" applyFill="1" applyBorder="1" applyProtection="1">
      <alignment vertical="center"/>
    </xf>
    <xf numFmtId="0" fontId="51" fillId="7" borderId="12" xfId="0" applyNumberFormat="1" applyFont="1" applyFill="1" applyBorder="1" applyAlignment="1" applyProtection="1">
      <alignment horizontal="center" vertical="center"/>
    </xf>
    <xf numFmtId="0" fontId="51" fillId="7" borderId="0" xfId="0" applyFont="1" applyFill="1" applyBorder="1" applyAlignment="1" applyProtection="1">
      <alignment vertical="center"/>
    </xf>
    <xf numFmtId="195" fontId="63" fillId="7" borderId="13" xfId="0" applyNumberFormat="1" applyFont="1" applyFill="1" applyBorder="1" applyAlignment="1" applyProtection="1">
      <alignment vertical="center"/>
    </xf>
    <xf numFmtId="0" fontId="55" fillId="7" borderId="21" xfId="0" applyFont="1" applyFill="1" applyBorder="1" applyAlignment="1" applyProtection="1">
      <alignment vertical="center"/>
    </xf>
    <xf numFmtId="0" fontId="51" fillId="7" borderId="0" xfId="0" applyNumberFormat="1" applyFont="1" applyFill="1" applyBorder="1" applyAlignment="1" applyProtection="1">
      <alignment horizontal="center" vertical="center"/>
    </xf>
    <xf numFmtId="195" fontId="10" fillId="0" borderId="0" xfId="0" applyNumberFormat="1" applyFont="1" applyFill="1" applyBorder="1" applyAlignment="1" applyProtection="1">
      <alignment horizontal="right" vertical="center"/>
    </xf>
    <xf numFmtId="195" fontId="10" fillId="0" borderId="8" xfId="0" applyNumberFormat="1" applyFont="1" applyFill="1" applyBorder="1" applyAlignment="1" applyProtection="1">
      <alignment horizontal="right" vertical="center"/>
    </xf>
    <xf numFmtId="195" fontId="10" fillId="5" borderId="2" xfId="0" applyNumberFormat="1" applyFont="1" applyFill="1" applyBorder="1" applyAlignment="1" applyProtection="1">
      <alignment vertical="center"/>
    </xf>
    <xf numFmtId="0" fontId="0" fillId="0" borderId="7" xfId="0" applyFill="1" applyBorder="1" applyProtection="1"/>
    <xf numFmtId="0" fontId="12" fillId="5" borderId="1" xfId="0" applyFont="1" applyFill="1" applyBorder="1" applyAlignment="1" applyProtection="1">
      <alignment horizontal="center" vertical="center"/>
    </xf>
    <xf numFmtId="2" fontId="1" fillId="5" borderId="2" xfId="0" applyNumberFormat="1" applyFont="1" applyFill="1" applyBorder="1" applyAlignment="1" applyProtection="1">
      <alignment vertical="center"/>
    </xf>
    <xf numFmtId="0" fontId="1" fillId="5" borderId="2" xfId="0" applyFont="1" applyFill="1" applyBorder="1" applyAlignment="1" applyProtection="1">
      <alignment horizontal="right" vertical="center"/>
    </xf>
    <xf numFmtId="177" fontId="1" fillId="5" borderId="2" xfId="3" applyFont="1" applyFill="1" applyBorder="1" applyAlignment="1" applyProtection="1">
      <alignment vertical="center"/>
    </xf>
    <xf numFmtId="189" fontId="1" fillId="5" borderId="2" xfId="90" applyNumberFormat="1" applyFont="1" applyFill="1" applyBorder="1" applyProtection="1">
      <alignment horizontal="right"/>
    </xf>
    <xf numFmtId="0" fontId="64" fillId="0" borderId="0" xfId="0" applyFont="1" applyFill="1" applyBorder="1" applyProtection="1"/>
    <xf numFmtId="0" fontId="64" fillId="0" borderId="23" xfId="0" applyFont="1" applyFill="1" applyBorder="1" applyAlignment="1" applyProtection="1">
      <alignment horizontal="left"/>
    </xf>
    <xf numFmtId="0" fontId="64" fillId="0" borderId="24" xfId="0" applyFont="1" applyFill="1" applyBorder="1" applyAlignment="1" applyProtection="1">
      <alignment horizontal="left"/>
    </xf>
    <xf numFmtId="0" fontId="64" fillId="0" borderId="25" xfId="0" applyFont="1" applyFill="1" applyBorder="1" applyAlignment="1" applyProtection="1">
      <alignment horizontal="left"/>
    </xf>
    <xf numFmtId="0" fontId="0" fillId="0" borderId="39" xfId="0" applyFill="1" applyBorder="1" applyProtection="1"/>
    <xf numFmtId="0" fontId="15" fillId="0" borderId="39" xfId="0" applyFont="1" applyFill="1" applyBorder="1" applyProtection="1"/>
    <xf numFmtId="190" fontId="1" fillId="5" borderId="2" xfId="88" applyNumberFormat="1" applyFont="1" applyFill="1" applyBorder="1" applyAlignment="1" applyProtection="1">
      <alignment vertical="center"/>
    </xf>
    <xf numFmtId="1" fontId="1" fillId="5" borderId="2" xfId="90" applyNumberFormat="1" applyFont="1" applyFill="1" applyBorder="1" applyAlignment="1" applyProtection="1">
      <alignment vertical="center"/>
    </xf>
    <xf numFmtId="0" fontId="65" fillId="0" borderId="0" xfId="0" applyFont="1" applyFill="1" applyBorder="1" applyProtection="1"/>
    <xf numFmtId="0" fontId="65" fillId="0" borderId="23" xfId="0" applyFont="1" applyFill="1" applyBorder="1" applyProtection="1"/>
    <xf numFmtId="0" fontId="65" fillId="0" borderId="24" xfId="0" applyFont="1" applyFill="1" applyBorder="1" applyProtection="1"/>
    <xf numFmtId="195" fontId="63" fillId="7" borderId="0" xfId="0" applyNumberFormat="1" applyFont="1" applyFill="1" applyBorder="1" applyAlignment="1" applyProtection="1">
      <alignment vertical="center"/>
    </xf>
    <xf numFmtId="0" fontId="55" fillId="7" borderId="0" xfId="0" applyFont="1" applyFill="1" applyBorder="1" applyAlignment="1" applyProtection="1">
      <alignment vertical="center"/>
    </xf>
    <xf numFmtId="0" fontId="0" fillId="0" borderId="0" xfId="0" applyProtection="1"/>
    <xf numFmtId="0" fontId="66" fillId="0" borderId="0" xfId="0" applyFont="1" applyAlignment="1" applyProtection="1">
      <alignment vertical="center" wrapText="1"/>
    </xf>
    <xf numFmtId="0" fontId="0" fillId="0" borderId="4" xfId="0" applyBorder="1" applyProtection="1"/>
    <xf numFmtId="0" fontId="0" fillId="0" borderId="15" xfId="0" applyBorder="1" applyProtection="1"/>
    <xf numFmtId="181" fontId="67" fillId="8" borderId="17" xfId="93" applyFont="1" applyFill="1" applyBorder="1" applyAlignment="1" applyProtection="1">
      <alignment horizontal="center" vertical="center"/>
      <protection locked="0"/>
    </xf>
    <xf numFmtId="0" fontId="4" fillId="8" borderId="18" xfId="0" applyFont="1" applyFill="1" applyBorder="1" applyAlignment="1" applyProtection="1">
      <alignment horizontal="center" vertical="center" wrapText="1"/>
    </xf>
    <xf numFmtId="181" fontId="67" fillId="8" borderId="20" xfId="93" applyFont="1" applyFill="1" applyBorder="1" applyAlignment="1" applyProtection="1">
      <alignment horizontal="center" vertical="center"/>
      <protection locked="0"/>
    </xf>
    <xf numFmtId="0" fontId="4" fillId="8" borderId="12" xfId="0" applyFont="1" applyFill="1" applyBorder="1" applyAlignment="1" applyProtection="1">
      <alignment horizontal="center" vertical="center" wrapText="1"/>
    </xf>
    <xf numFmtId="0" fontId="0" fillId="9" borderId="26" xfId="0" applyFill="1" applyBorder="1" applyAlignment="1" applyProtection="1">
      <alignment vertical="center"/>
    </xf>
    <xf numFmtId="0" fontId="0" fillId="9" borderId="0" xfId="0" applyFill="1" applyBorder="1" applyAlignment="1" applyProtection="1">
      <alignment vertical="center"/>
    </xf>
    <xf numFmtId="0" fontId="0" fillId="9" borderId="26" xfId="0" applyFill="1" applyBorder="1" applyProtection="1"/>
    <xf numFmtId="0" fontId="1" fillId="0" borderId="4" xfId="6" applyFont="1" applyBorder="1" applyAlignment="1">
      <alignment horizontal="left" vertical="center" wrapText="1"/>
    </xf>
    <xf numFmtId="0" fontId="1" fillId="0" borderId="15" xfId="6" applyFont="1" applyBorder="1" applyAlignment="1">
      <alignment horizontal="left" vertical="center" wrapText="1"/>
    </xf>
    <xf numFmtId="0" fontId="1" fillId="0" borderId="15" xfId="6" applyFont="1" applyBorder="1" applyAlignment="1">
      <alignment vertical="center" wrapText="1"/>
    </xf>
    <xf numFmtId="0" fontId="1" fillId="0" borderId="7" xfId="6" applyFont="1" applyBorder="1" applyAlignment="1">
      <alignment horizontal="left" vertical="center" wrapText="1"/>
    </xf>
    <xf numFmtId="0" fontId="1" fillId="0" borderId="0" xfId="6" applyFont="1" applyBorder="1" applyAlignment="1">
      <alignment horizontal="left" vertical="center" wrapText="1"/>
    </xf>
    <xf numFmtId="0" fontId="1" fillId="0" borderId="0" xfId="6" applyFont="1" applyBorder="1" applyAlignment="1">
      <alignment vertical="center" wrapText="1"/>
    </xf>
    <xf numFmtId="0" fontId="1" fillId="0" borderId="10" xfId="6" applyFont="1" applyBorder="1" applyAlignment="1">
      <alignment horizontal="left" vertical="center" wrapText="1"/>
    </xf>
    <xf numFmtId="0" fontId="1" fillId="0" borderId="12" xfId="6" applyFont="1" applyBorder="1" applyAlignment="1">
      <alignment horizontal="left" vertical="center" wrapText="1"/>
    </xf>
    <xf numFmtId="0" fontId="1" fillId="0" borderId="12" xfId="6" applyFont="1" applyBorder="1" applyAlignment="1">
      <alignment vertical="center" wrapText="1"/>
    </xf>
    <xf numFmtId="0" fontId="0" fillId="9" borderId="0" xfId="0" applyFill="1" applyBorder="1" applyProtection="1"/>
    <xf numFmtId="0" fontId="1" fillId="0" borderId="4" xfId="0" applyFont="1" applyFill="1" applyBorder="1" applyAlignment="1" applyProtection="1">
      <alignment horizontal="center" vertical="center" wrapText="1"/>
    </xf>
    <xf numFmtId="0" fontId="1" fillId="0" borderId="15" xfId="0" applyFont="1" applyFill="1" applyBorder="1" applyAlignment="1" applyProtection="1">
      <alignment horizontal="center" vertical="center" wrapText="1"/>
    </xf>
    <xf numFmtId="0" fontId="1" fillId="0" borderId="7" xfId="0" applyFont="1" applyFill="1" applyBorder="1" applyAlignment="1" applyProtection="1">
      <alignment horizontal="center" vertical="center" wrapText="1"/>
    </xf>
    <xf numFmtId="0" fontId="1" fillId="0" borderId="0" xfId="0" applyFont="1" applyFill="1" applyBorder="1" applyAlignment="1" applyProtection="1">
      <alignment horizontal="center" vertical="center" wrapText="1"/>
    </xf>
    <xf numFmtId="0" fontId="1" fillId="0" borderId="10" xfId="0" applyFont="1" applyFill="1" applyBorder="1" applyAlignment="1" applyProtection="1">
      <alignment horizontal="center" vertical="center" wrapText="1"/>
    </xf>
    <xf numFmtId="0" fontId="1" fillId="0" borderId="12" xfId="0" applyFont="1" applyFill="1" applyBorder="1" applyAlignment="1" applyProtection="1">
      <alignment horizontal="center" vertical="center" wrapText="1"/>
    </xf>
    <xf numFmtId="0" fontId="0" fillId="9" borderId="4" xfId="0" applyFill="1" applyBorder="1" applyProtection="1"/>
    <xf numFmtId="0" fontId="0" fillId="9" borderId="15" xfId="0" applyFill="1" applyBorder="1" applyProtection="1"/>
    <xf numFmtId="0" fontId="42" fillId="0" borderId="4" xfId="6" applyFont="1" applyBorder="1" applyAlignment="1">
      <alignment horizontal="left" vertical="center" wrapText="1"/>
    </xf>
    <xf numFmtId="0" fontId="42" fillId="0" borderId="15" xfId="6" applyFont="1" applyBorder="1" applyAlignment="1">
      <alignment horizontal="left" vertical="center" wrapText="1"/>
    </xf>
    <xf numFmtId="0" fontId="42" fillId="0" borderId="5" xfId="6" applyFont="1" applyBorder="1" applyAlignment="1">
      <alignment vertical="center" wrapText="1"/>
    </xf>
    <xf numFmtId="0" fontId="42" fillId="0" borderId="7" xfId="6" applyFont="1" applyBorder="1" applyAlignment="1">
      <alignment horizontal="left" vertical="center" wrapText="1"/>
    </xf>
    <xf numFmtId="0" fontId="42" fillId="0" borderId="0" xfId="6" applyFont="1" applyBorder="1" applyAlignment="1">
      <alignment horizontal="left" vertical="center" wrapText="1"/>
    </xf>
    <xf numFmtId="0" fontId="42" fillId="0" borderId="8" xfId="6" applyFont="1" applyBorder="1" applyAlignment="1">
      <alignment vertical="center" wrapText="1"/>
    </xf>
    <xf numFmtId="0" fontId="42" fillId="0" borderId="10" xfId="6" applyFont="1" applyBorder="1" applyAlignment="1">
      <alignment horizontal="left" vertical="center" wrapText="1"/>
    </xf>
    <xf numFmtId="0" fontId="42" fillId="0" borderId="12" xfId="6" applyFont="1" applyBorder="1" applyAlignment="1">
      <alignment horizontal="left" vertical="center" wrapText="1"/>
    </xf>
    <xf numFmtId="0" fontId="42" fillId="0" borderId="11" xfId="6" applyFont="1" applyBorder="1" applyAlignment="1">
      <alignment vertical="center" wrapText="1"/>
    </xf>
    <xf numFmtId="0" fontId="0" fillId="9" borderId="7" xfId="0" applyFill="1" applyBorder="1" applyProtection="1"/>
    <xf numFmtId="0" fontId="1" fillId="0" borderId="5" xfId="6" applyFont="1" applyBorder="1" applyAlignment="1">
      <alignment vertical="center" wrapText="1"/>
    </xf>
    <xf numFmtId="0" fontId="1" fillId="0" borderId="8" xfId="6" applyFont="1" applyBorder="1" applyAlignment="1">
      <alignment vertical="center" wrapText="1"/>
    </xf>
    <xf numFmtId="0" fontId="1" fillId="0" borderId="11" xfId="6" applyFont="1" applyBorder="1" applyAlignment="1">
      <alignment vertical="center" wrapText="1"/>
    </xf>
    <xf numFmtId="0" fontId="1" fillId="0" borderId="4" xfId="6" applyFont="1" applyBorder="1" applyAlignment="1" applyProtection="1">
      <alignment horizontal="left" vertical="center" wrapText="1"/>
    </xf>
    <xf numFmtId="0" fontId="1" fillId="0" borderId="15" xfId="6" applyFont="1" applyBorder="1" applyAlignment="1" applyProtection="1">
      <alignment horizontal="left" vertical="center" wrapText="1"/>
    </xf>
    <xf numFmtId="0" fontId="1" fillId="0" borderId="15" xfId="6" applyFont="1" applyBorder="1" applyAlignment="1" applyProtection="1">
      <alignment vertical="center" wrapText="1"/>
    </xf>
    <xf numFmtId="0" fontId="1" fillId="0" borderId="7" xfId="6" applyFont="1" applyBorder="1" applyAlignment="1" applyProtection="1">
      <alignment horizontal="left" vertical="center" wrapText="1"/>
    </xf>
    <xf numFmtId="0" fontId="1" fillId="0" borderId="0" xfId="6" applyFont="1" applyBorder="1" applyAlignment="1" applyProtection="1">
      <alignment horizontal="left" vertical="center" wrapText="1"/>
    </xf>
    <xf numFmtId="0" fontId="1" fillId="0" borderId="0" xfId="6" applyFont="1" applyBorder="1" applyAlignment="1" applyProtection="1">
      <alignment vertical="center" wrapText="1"/>
    </xf>
    <xf numFmtId="0" fontId="1" fillId="0" borderId="10" xfId="6" applyFont="1" applyBorder="1" applyAlignment="1" applyProtection="1">
      <alignment horizontal="left" vertical="center" wrapText="1"/>
    </xf>
    <xf numFmtId="0" fontId="1" fillId="0" borderId="12" xfId="6" applyFont="1" applyBorder="1" applyAlignment="1" applyProtection="1">
      <alignment horizontal="left" vertical="center" wrapText="1"/>
    </xf>
    <xf numFmtId="0" fontId="1" fillId="0" borderId="12" xfId="6" applyFont="1" applyBorder="1" applyAlignment="1" applyProtection="1">
      <alignment vertical="center" wrapText="1"/>
    </xf>
    <xf numFmtId="0" fontId="0" fillId="9" borderId="23" xfId="0" applyFill="1" applyBorder="1" applyProtection="1"/>
    <xf numFmtId="0" fontId="0" fillId="9" borderId="24" xfId="0" applyFill="1" applyBorder="1" applyProtection="1"/>
    <xf numFmtId="0" fontId="0" fillId="0" borderId="76" xfId="0" applyBorder="1"/>
    <xf numFmtId="0" fontId="1" fillId="0" borderId="15" xfId="0" applyFont="1" applyBorder="1"/>
    <xf numFmtId="0" fontId="9" fillId="0" borderId="0" xfId="0" applyFont="1" applyProtection="1"/>
    <xf numFmtId="0" fontId="9" fillId="0" borderId="0" xfId="0" applyFont="1" applyAlignment="1" applyProtection="1">
      <alignment horizontal="center"/>
      <protection hidden="1"/>
    </xf>
    <xf numFmtId="0" fontId="9" fillId="0" borderId="0" xfId="0" applyFont="1" applyAlignment="1" applyProtection="1"/>
    <xf numFmtId="0" fontId="9" fillId="0" borderId="0" xfId="0" applyFont="1" applyAlignment="1" applyProtection="1">
      <protection hidden="1"/>
    </xf>
    <xf numFmtId="0" fontId="9" fillId="0" borderId="0" xfId="0" applyFont="1" applyProtection="1">
      <protection hidden="1"/>
    </xf>
    <xf numFmtId="0" fontId="4" fillId="8" borderId="19" xfId="0" applyFont="1" applyFill="1" applyBorder="1" applyAlignment="1" applyProtection="1">
      <alignment horizontal="center" vertical="center" wrapText="1"/>
    </xf>
    <xf numFmtId="0" fontId="4" fillId="8" borderId="77" xfId="0" applyFont="1" applyFill="1" applyBorder="1" applyAlignment="1" applyProtection="1">
      <alignment horizontal="center" vertical="center" wrapText="1"/>
    </xf>
    <xf numFmtId="0" fontId="0" fillId="9" borderId="21" xfId="0" applyFill="1" applyBorder="1" applyAlignment="1" applyProtection="1">
      <alignment vertical="center"/>
    </xf>
    <xf numFmtId="0" fontId="0" fillId="9" borderId="21" xfId="0" applyFill="1" applyBorder="1" applyProtection="1"/>
    <xf numFmtId="0" fontId="0" fillId="0" borderId="0" xfId="0" applyAlignment="1" applyProtection="1"/>
    <xf numFmtId="0" fontId="1" fillId="0" borderId="5" xfId="0" applyFont="1" applyFill="1" applyBorder="1" applyAlignment="1" applyProtection="1">
      <alignment horizontal="center" vertical="center" wrapText="1"/>
    </xf>
    <xf numFmtId="0" fontId="1" fillId="0" borderId="8" xfId="0" applyFont="1" applyFill="1" applyBorder="1" applyAlignment="1" applyProtection="1">
      <alignment horizontal="center" vertical="center" wrapText="1"/>
    </xf>
    <xf numFmtId="0" fontId="1" fillId="0" borderId="11" xfId="0" applyFont="1" applyFill="1" applyBorder="1" applyAlignment="1" applyProtection="1">
      <alignment horizontal="center" vertical="center" wrapText="1"/>
    </xf>
    <xf numFmtId="0" fontId="1" fillId="0" borderId="5" xfId="6" applyFont="1" applyBorder="1" applyAlignment="1" applyProtection="1">
      <alignment vertical="center" wrapText="1"/>
    </xf>
    <xf numFmtId="0" fontId="1" fillId="0" borderId="8" xfId="6" applyFont="1" applyBorder="1" applyAlignment="1" applyProtection="1">
      <alignment vertical="center" wrapText="1"/>
    </xf>
    <xf numFmtId="0" fontId="1" fillId="0" borderId="11" xfId="6" applyFont="1" applyBorder="1" applyAlignment="1" applyProtection="1">
      <alignment vertical="center" wrapText="1"/>
    </xf>
    <xf numFmtId="0" fontId="0" fillId="0" borderId="0" xfId="0" applyBorder="1" applyProtection="1"/>
    <xf numFmtId="0" fontId="0" fillId="9" borderId="25" xfId="0" applyFill="1" applyBorder="1" applyProtection="1"/>
    <xf numFmtId="0" fontId="0" fillId="0" borderId="15" xfId="0" applyBorder="1"/>
    <xf numFmtId="0" fontId="68" fillId="2" borderId="17" xfId="0" applyFont="1" applyFill="1" applyBorder="1" applyAlignment="1" applyProtection="1">
      <alignment horizontal="center" vertical="center"/>
      <protection locked="0"/>
    </xf>
    <xf numFmtId="0" fontId="1" fillId="0" borderId="18" xfId="0" applyFont="1" applyBorder="1" applyAlignment="1">
      <alignment horizontal="left" vertical="center" wrapText="1"/>
    </xf>
    <xf numFmtId="181" fontId="67" fillId="0" borderId="21" xfId="93" applyFont="1" applyFill="1" applyBorder="1" applyAlignment="1" applyProtection="1">
      <alignment vertical="center"/>
    </xf>
    <xf numFmtId="0" fontId="68" fillId="2" borderId="26" xfId="0" applyFont="1" applyFill="1" applyBorder="1" applyAlignment="1" applyProtection="1">
      <alignment horizontal="center" vertical="center"/>
      <protection locked="0"/>
    </xf>
    <xf numFmtId="0" fontId="1" fillId="0" borderId="0" xfId="0" applyFont="1" applyBorder="1" applyAlignment="1">
      <alignment horizontal="left" vertical="center" wrapText="1"/>
    </xf>
    <xf numFmtId="0" fontId="68" fillId="2" borderId="23" xfId="0" applyFont="1" applyFill="1" applyBorder="1" applyAlignment="1" applyProtection="1">
      <alignment horizontal="center" vertical="center"/>
      <protection locked="0"/>
    </xf>
    <xf numFmtId="0" fontId="1" fillId="0" borderId="24" xfId="0" applyFont="1" applyBorder="1" applyAlignment="1">
      <alignment horizontal="left" vertical="center" wrapText="1"/>
    </xf>
    <xf numFmtId="0" fontId="0" fillId="0" borderId="0" xfId="0" applyBorder="1" applyAlignment="1" applyProtection="1">
      <alignment vertical="center"/>
    </xf>
    <xf numFmtId="0" fontId="0" fillId="0" borderId="62" xfId="0" applyBorder="1" applyProtection="1"/>
    <xf numFmtId="0" fontId="0" fillId="0" borderId="15" xfId="0" applyBorder="1" applyAlignment="1" applyProtection="1">
      <alignment horizontal="center" vertical="center"/>
    </xf>
    <xf numFmtId="0" fontId="4" fillId="8" borderId="18" xfId="0" applyFont="1" applyFill="1" applyBorder="1" applyAlignment="1" applyProtection="1">
      <alignment horizontal="center" vertical="center"/>
    </xf>
    <xf numFmtId="0" fontId="4" fillId="8" borderId="12" xfId="0" applyFont="1" applyFill="1" applyBorder="1" applyAlignment="1" applyProtection="1">
      <alignment horizontal="center" vertical="center"/>
    </xf>
    <xf numFmtId="0" fontId="1" fillId="0" borderId="5" xfId="6" applyFont="1" applyBorder="1" applyAlignment="1">
      <alignment horizontal="left" vertical="center" wrapText="1"/>
    </xf>
    <xf numFmtId="0" fontId="1" fillId="0" borderId="8" xfId="6" applyFont="1" applyBorder="1" applyAlignment="1">
      <alignment horizontal="left" vertical="center" wrapText="1"/>
    </xf>
    <xf numFmtId="0" fontId="1" fillId="0" borderId="11" xfId="6" applyFont="1" applyBorder="1" applyAlignment="1">
      <alignment horizontal="left" vertical="center" wrapText="1"/>
    </xf>
    <xf numFmtId="0" fontId="1" fillId="0" borderId="0" xfId="0" applyFont="1" applyAlignment="1" applyProtection="1">
      <alignment horizontal="right"/>
    </xf>
    <xf numFmtId="0" fontId="0" fillId="0" borderId="78" xfId="0" applyBorder="1" applyProtection="1"/>
    <xf numFmtId="0" fontId="0" fillId="0" borderId="79" xfId="0" applyBorder="1" applyProtection="1"/>
    <xf numFmtId="0" fontId="1" fillId="0" borderId="80" xfId="6" applyFont="1" applyBorder="1" applyAlignment="1">
      <alignment horizontal="left" vertical="center" wrapText="1"/>
    </xf>
    <xf numFmtId="0" fontId="1" fillId="0" borderId="81" xfId="6" applyFont="1" applyBorder="1" applyAlignment="1">
      <alignment horizontal="left" vertical="center" wrapText="1"/>
    </xf>
    <xf numFmtId="0" fontId="0" fillId="0" borderId="81" xfId="0" applyBorder="1" applyAlignment="1">
      <alignment vertical="center" wrapText="1"/>
    </xf>
    <xf numFmtId="0" fontId="1" fillId="0" borderId="82" xfId="6" applyFont="1" applyBorder="1" applyAlignment="1">
      <alignment horizontal="left" vertical="center" wrapText="1"/>
    </xf>
    <xf numFmtId="0" fontId="0" fillId="0" borderId="0" xfId="0" applyBorder="1" applyAlignment="1">
      <alignment vertical="center" wrapText="1"/>
    </xf>
    <xf numFmtId="0" fontId="1" fillId="0" borderId="83" xfId="6" applyFont="1" applyBorder="1" applyAlignment="1">
      <alignment horizontal="left" vertical="center" wrapText="1"/>
    </xf>
    <xf numFmtId="0" fontId="1" fillId="0" borderId="78" xfId="6" applyFont="1" applyBorder="1" applyAlignment="1">
      <alignment horizontal="left" vertical="center" wrapText="1"/>
    </xf>
    <xf numFmtId="0" fontId="0" fillId="0" borderId="78" xfId="0" applyBorder="1" applyAlignment="1">
      <alignment vertical="center" wrapText="1"/>
    </xf>
    <xf numFmtId="0" fontId="0" fillId="0" borderId="19" xfId="0" applyBorder="1"/>
    <xf numFmtId="0" fontId="0" fillId="0" borderId="26" xfId="0" applyBorder="1" applyAlignment="1" applyProtection="1">
      <alignment vertical="center" wrapText="1"/>
    </xf>
    <xf numFmtId="181" fontId="69" fillId="0" borderId="10" xfId="93" applyFont="1" applyFill="1" applyBorder="1" applyAlignment="1" applyProtection="1">
      <alignment vertical="center"/>
    </xf>
    <xf numFmtId="0" fontId="0" fillId="0" borderId="0" xfId="0" applyBorder="1" applyAlignment="1" applyProtection="1">
      <alignment horizontal="center" vertical="center"/>
    </xf>
    <xf numFmtId="0" fontId="0" fillId="0" borderId="12" xfId="0" applyBorder="1" applyAlignment="1" applyProtection="1">
      <alignment horizontal="center" vertical="center"/>
    </xf>
    <xf numFmtId="0" fontId="0" fillId="0" borderId="4" xfId="0" applyBorder="1" applyAlignment="1" applyProtection="1">
      <alignment horizontal="center" vertical="center"/>
    </xf>
    <xf numFmtId="0" fontId="4" fillId="8" borderId="19" xfId="0" applyFont="1" applyFill="1" applyBorder="1" applyAlignment="1" applyProtection="1">
      <alignment horizontal="center" vertical="center"/>
    </xf>
    <xf numFmtId="0" fontId="4" fillId="8" borderId="77" xfId="0" applyFont="1" applyFill="1" applyBorder="1" applyAlignment="1" applyProtection="1">
      <alignment horizontal="center" vertical="center"/>
    </xf>
    <xf numFmtId="0" fontId="0" fillId="0" borderId="4" xfId="0" applyBorder="1"/>
    <xf numFmtId="0" fontId="1" fillId="0" borderId="15" xfId="0" applyFont="1" applyBorder="1" applyAlignment="1">
      <alignment horizontal="center"/>
    </xf>
    <xf numFmtId="0" fontId="0" fillId="0" borderId="5" xfId="0" applyBorder="1" applyProtection="1"/>
    <xf numFmtId="0" fontId="0" fillId="0" borderId="7" xfId="0" applyBorder="1" applyProtection="1"/>
    <xf numFmtId="0" fontId="1" fillId="0" borderId="17" xfId="6" applyFont="1" applyBorder="1" applyAlignment="1" applyProtection="1">
      <alignment horizontal="left" vertical="center" wrapText="1"/>
    </xf>
    <xf numFmtId="0" fontId="1" fillId="0" borderId="18" xfId="6" applyFont="1" applyBorder="1" applyAlignment="1" applyProtection="1">
      <alignment horizontal="left" vertical="center" wrapText="1"/>
    </xf>
    <xf numFmtId="0" fontId="1" fillId="0" borderId="8" xfId="0" applyFont="1" applyBorder="1" applyAlignment="1" applyProtection="1">
      <alignment horizontal="right"/>
    </xf>
    <xf numFmtId="0" fontId="1" fillId="0" borderId="26" xfId="6" applyFont="1" applyBorder="1" applyAlignment="1" applyProtection="1">
      <alignment horizontal="left" vertical="center" wrapText="1"/>
    </xf>
    <xf numFmtId="0" fontId="1" fillId="0" borderId="23" xfId="6" applyFont="1" applyBorder="1" applyAlignment="1" applyProtection="1">
      <alignment horizontal="left" vertical="center" wrapText="1"/>
    </xf>
    <xf numFmtId="0" fontId="1" fillId="0" borderId="24" xfId="6" applyFont="1" applyBorder="1" applyAlignment="1" applyProtection="1">
      <alignment horizontal="left" vertical="center" wrapText="1"/>
    </xf>
    <xf numFmtId="0" fontId="0" fillId="0" borderId="10" xfId="0" applyBorder="1" applyProtection="1"/>
    <xf numFmtId="0" fontId="0" fillId="0" borderId="11" xfId="0" applyBorder="1" applyProtection="1"/>
    <xf numFmtId="0" fontId="0" fillId="0" borderId="84" xfId="0" applyBorder="1" applyProtection="1"/>
    <xf numFmtId="0" fontId="0" fillId="0" borderId="85" xfId="0" applyBorder="1" applyProtection="1"/>
    <xf numFmtId="0" fontId="0" fillId="0" borderId="86" xfId="0" applyBorder="1" applyAlignment="1">
      <alignment vertical="center" wrapText="1"/>
    </xf>
    <xf numFmtId="0" fontId="0" fillId="0" borderId="87" xfId="0" applyBorder="1" applyAlignment="1">
      <alignment vertical="center" wrapText="1"/>
    </xf>
    <xf numFmtId="0" fontId="0" fillId="0" borderId="88" xfId="0" applyBorder="1" applyAlignment="1">
      <alignment vertical="center" wrapText="1"/>
    </xf>
    <xf numFmtId="0" fontId="70" fillId="0" borderId="0" xfId="6" applyFont="1" applyFill="1" applyBorder="1" applyAlignment="1" applyProtection="1">
      <alignment vertical="center" wrapText="1"/>
    </xf>
    <xf numFmtId="181" fontId="67" fillId="8" borderId="41" xfId="93" applyFont="1" applyFill="1" applyBorder="1" applyAlignment="1" applyProtection="1">
      <alignment horizontal="center" vertical="center"/>
      <protection locked="0"/>
    </xf>
    <xf numFmtId="0" fontId="4" fillId="8" borderId="43" xfId="0" applyFont="1" applyFill="1" applyBorder="1" applyAlignment="1" applyProtection="1">
      <alignment horizontal="center" vertical="center"/>
    </xf>
    <xf numFmtId="181" fontId="67" fillId="8" borderId="22" xfId="93" applyFont="1" applyFill="1" applyBorder="1" applyAlignment="1" applyProtection="1">
      <alignment horizontal="center" vertical="center"/>
      <protection locked="0"/>
    </xf>
    <xf numFmtId="0" fontId="4" fillId="8" borderId="14" xfId="0" applyFont="1" applyFill="1" applyBorder="1" applyAlignment="1" applyProtection="1">
      <alignment horizontal="center" vertical="center"/>
    </xf>
    <xf numFmtId="0" fontId="1" fillId="0" borderId="4" xfId="6" applyFont="1" applyFill="1" applyBorder="1" applyAlignment="1" applyProtection="1">
      <alignment horizontal="left" vertical="center" wrapText="1"/>
    </xf>
    <xf numFmtId="0" fontId="1" fillId="0" borderId="15" xfId="6" applyFont="1" applyFill="1" applyBorder="1" applyAlignment="1" applyProtection="1">
      <alignment horizontal="left" vertical="center" wrapText="1"/>
    </xf>
    <xf numFmtId="0" fontId="1" fillId="0" borderId="15" xfId="6" applyFont="1" applyFill="1" applyBorder="1" applyAlignment="1" applyProtection="1">
      <alignment vertical="center" wrapText="1"/>
    </xf>
    <xf numFmtId="0" fontId="1" fillId="0" borderId="5" xfId="6" applyFont="1" applyFill="1" applyBorder="1" applyAlignment="1" applyProtection="1">
      <alignment vertical="center" wrapText="1"/>
    </xf>
    <xf numFmtId="0" fontId="1" fillId="0" borderId="7" xfId="6" applyFont="1" applyFill="1" applyBorder="1" applyAlignment="1" applyProtection="1">
      <alignment horizontal="left" vertical="center" wrapText="1"/>
    </xf>
    <xf numFmtId="0" fontId="1" fillId="0" borderId="0" xfId="6" applyFont="1" applyFill="1" applyBorder="1" applyAlignment="1" applyProtection="1">
      <alignment horizontal="left" vertical="center" wrapText="1"/>
    </xf>
    <xf numFmtId="0" fontId="1" fillId="0" borderId="0" xfId="6" applyFont="1" applyFill="1" applyBorder="1" applyAlignment="1" applyProtection="1">
      <alignment vertical="center" wrapText="1"/>
    </xf>
    <xf numFmtId="0" fontId="1" fillId="0" borderId="8" xfId="6" applyFont="1" applyFill="1" applyBorder="1" applyAlignment="1" applyProtection="1">
      <alignment vertical="center" wrapText="1"/>
    </xf>
    <xf numFmtId="0" fontId="1" fillId="0" borderId="10" xfId="6" applyFont="1" applyFill="1" applyBorder="1" applyAlignment="1" applyProtection="1">
      <alignment horizontal="left" vertical="center" wrapText="1"/>
    </xf>
    <xf numFmtId="0" fontId="1" fillId="0" borderId="12" xfId="6" applyFont="1" applyFill="1" applyBorder="1" applyAlignment="1" applyProtection="1">
      <alignment horizontal="left" vertical="center" wrapText="1"/>
    </xf>
    <xf numFmtId="0" fontId="1" fillId="0" borderId="12" xfId="6" applyFont="1" applyFill="1" applyBorder="1" applyAlignment="1" applyProtection="1">
      <alignment vertical="center" wrapText="1"/>
    </xf>
    <xf numFmtId="0" fontId="1" fillId="0" borderId="11" xfId="6" applyFont="1" applyFill="1" applyBorder="1" applyAlignment="1" applyProtection="1">
      <alignment vertical="center" wrapText="1"/>
    </xf>
    <xf numFmtId="0" fontId="1" fillId="0" borderId="18" xfId="6" applyFont="1" applyBorder="1" applyAlignment="1" applyProtection="1">
      <alignment vertical="center" wrapText="1"/>
    </xf>
    <xf numFmtId="0" fontId="1" fillId="0" borderId="19" xfId="6" applyFont="1" applyBorder="1" applyAlignment="1" applyProtection="1">
      <alignment vertical="center" wrapText="1"/>
    </xf>
    <xf numFmtId="0" fontId="1" fillId="0" borderId="21" xfId="6" applyFont="1" applyBorder="1" applyAlignment="1" applyProtection="1">
      <alignment vertical="center" wrapText="1"/>
    </xf>
    <xf numFmtId="0" fontId="1" fillId="0" borderId="24" xfId="6" applyFont="1" applyBorder="1" applyAlignment="1" applyProtection="1">
      <alignment vertical="center" wrapText="1"/>
    </xf>
    <xf numFmtId="0" fontId="1" fillId="0" borderId="25" xfId="6" applyFont="1" applyBorder="1" applyAlignment="1" applyProtection="1">
      <alignment vertical="center" wrapText="1"/>
    </xf>
    <xf numFmtId="0" fontId="0" fillId="0" borderId="44" xfId="0" applyBorder="1" applyProtection="1"/>
    <xf numFmtId="0" fontId="4" fillId="8" borderId="50" xfId="0" applyFont="1" applyFill="1" applyBorder="1" applyAlignment="1" applyProtection="1">
      <alignment horizontal="center" vertical="center"/>
    </xf>
    <xf numFmtId="0" fontId="4" fillId="8" borderId="61" xfId="0" applyFont="1" applyFill="1" applyBorder="1" applyAlignment="1" applyProtection="1">
      <alignment horizontal="center" vertical="center"/>
    </xf>
    <xf numFmtId="0" fontId="0" fillId="0" borderId="89" xfId="0" applyBorder="1" applyProtection="1"/>
    <xf numFmtId="0" fontId="51" fillId="0" borderId="0" xfId="0" applyFont="1" applyFill="1" applyBorder="1" applyAlignment="1" applyProtection="1" quotePrefix="1">
      <alignment horizontal="center" vertical="center"/>
    </xf>
    <xf numFmtId="0" fontId="51" fillId="0" borderId="12" xfId="0" applyFont="1" applyFill="1" applyBorder="1" applyAlignment="1" applyProtection="1" quotePrefix="1">
      <alignment horizontal="center" vertical="center"/>
    </xf>
    <xf numFmtId="0" fontId="51" fillId="0" borderId="3" xfId="0" applyFont="1" applyFill="1" applyBorder="1" applyAlignment="1" applyProtection="1" quotePrefix="1">
      <alignment horizontal="center" vertical="center"/>
    </xf>
    <xf numFmtId="0" fontId="51" fillId="0" borderId="9" xfId="0" applyFont="1" applyFill="1" applyBorder="1" applyAlignment="1" applyProtection="1" quotePrefix="1">
      <alignment horizontal="center" vertical="center"/>
    </xf>
    <xf numFmtId="0" fontId="51" fillId="0" borderId="6" xfId="0" applyFont="1" applyFill="1" applyBorder="1" applyAlignment="1" applyProtection="1" quotePrefix="1">
      <alignment horizontal="center" vertical="center"/>
    </xf>
    <xf numFmtId="181" fontId="1" fillId="0" borderId="13" xfId="93" applyFont="1" applyFill="1" applyBorder="1" applyAlignment="1" applyProtection="1" quotePrefix="1">
      <alignment horizontal="center" vertical="center"/>
    </xf>
    <xf numFmtId="181" fontId="1" fillId="0" borderId="34" xfId="93" applyFont="1" applyFill="1" applyBorder="1" applyAlignment="1" applyProtection="1" quotePrefix="1">
      <alignment horizontal="center" vertical="center"/>
    </xf>
    <xf numFmtId="181" fontId="20" fillId="7" borderId="45" xfId="93" applyNumberFormat="1" applyFont="1" applyFill="1" applyBorder="1" applyAlignment="1" applyProtection="1" quotePrefix="1">
      <alignment horizontal="center" vertical="center"/>
    </xf>
    <xf numFmtId="181" fontId="1" fillId="7" borderId="34" xfId="93" applyFont="1" applyFill="1" applyBorder="1" applyAlignment="1" applyProtection="1" quotePrefix="1">
      <alignment horizontal="center" vertical="center"/>
    </xf>
  </cellXfs>
  <cellStyles count="94">
    <cellStyle name="Normal" xfId="0" builtinId="0"/>
    <cellStyle name="Comma" xfId="1" builtinId="3"/>
    <cellStyle name="Currency" xfId="2" builtinId="4"/>
    <cellStyle name="Percent" xfId="3" builtinId="5"/>
    <cellStyle name="Comma [0]" xfId="4" builtinId="6"/>
    <cellStyle name="Currency [0]" xfId="5" builtinId="7"/>
    <cellStyle name="Link" xfId="6" builtinId="8"/>
    <cellStyle name="Followed Hyperlink" xfId="7" builtinId="9"/>
    <cellStyle name="Note" xfId="8" builtinId="10"/>
    <cellStyle name="Warning Text" xfId="9" builtinId="11"/>
    <cellStyle name="Title" xfId="10" builtinId="15"/>
    <cellStyle name="CExplanatory Text" xfId="11" builtinId="53"/>
    <cellStyle name="Heading 1" xfId="12" builtinId="16"/>
    <cellStyle name="Heading 2" xfId="13" builtinId="17"/>
    <cellStyle name="Heading 3" xfId="14" builtinId="18"/>
    <cellStyle name="Heading 4" xfId="15" builtinId="19"/>
    <cellStyle name="Input" xfId="16" builtinId="20"/>
    <cellStyle name="Output" xfId="17" builtinId="21"/>
    <cellStyle name="Calculation" xfId="18" builtinId="22"/>
    <cellStyle name="Check Cell" xfId="19" builtinId="23"/>
    <cellStyle name="Linked Cell" xfId="20" builtinId="24"/>
    <cellStyle name="Total" xfId="21" builtinId="25"/>
    <cellStyle name="Good" xfId="22" builtinId="26"/>
    <cellStyle name="Bad" xfId="23" builtinId="27"/>
    <cellStyle name="Neutral" xfId="24" builtinId="28"/>
    <cellStyle name="Accent1" xfId="25" builtinId="29"/>
    <cellStyle name="20% - Accent1" xfId="26" builtinId="30"/>
    <cellStyle name="40% - Accent1" xfId="27" builtinId="31"/>
    <cellStyle name="60% - Accent1" xfId="28" builtinId="32"/>
    <cellStyle name="Accent2" xfId="29" builtinId="33"/>
    <cellStyle name="20% - Accent2" xfId="30" builtinId="34"/>
    <cellStyle name="40% - Accent2" xfId="31" builtinId="35"/>
    <cellStyle name="60% - Accent2" xfId="32" builtinId="36"/>
    <cellStyle name="Accent3" xfId="33" builtinId="37"/>
    <cellStyle name="20% - Accent3" xfId="34" builtinId="38"/>
    <cellStyle name="40% - Accent3" xfId="35" builtinId="39"/>
    <cellStyle name="60% - Accent3" xfId="36" builtinId="40"/>
    <cellStyle name="Accent4" xfId="37" builtinId="41"/>
    <cellStyle name="20% - Accent4" xfId="38" builtinId="42"/>
    <cellStyle name="40% - Accent4" xfId="39" builtinId="43"/>
    <cellStyle name="60% - Accent4" xfId="40" builtinId="44"/>
    <cellStyle name="Accent5" xfId="41" builtinId="45"/>
    <cellStyle name="20% - Accent5" xfId="42" builtinId="46"/>
    <cellStyle name="40% - Accent5" xfId="43" builtinId="47"/>
    <cellStyle name="60% - Accent5" xfId="44" builtinId="48"/>
    <cellStyle name="Accent6" xfId="45" builtinId="49"/>
    <cellStyle name="20% - Accent6" xfId="46" builtinId="50"/>
    <cellStyle name="40% - Accent6" xfId="47" builtinId="51"/>
    <cellStyle name="60% - Accent6" xfId="48" builtinId="52"/>
    <cellStyle name="20% - Colore 1 2" xfId="49"/>
    <cellStyle name="20% - Colore 1 2 2" xfId="50"/>
    <cellStyle name="20% - Colore 1 3" xfId="51"/>
    <cellStyle name="20% - Colore 2 2" xfId="52"/>
    <cellStyle name="20% - Colore 2 2 2" xfId="53"/>
    <cellStyle name="20% - Colore 2 3" xfId="54"/>
    <cellStyle name="20% - Colore 3 2" xfId="55"/>
    <cellStyle name="20% - Colore 3 2 2" xfId="56"/>
    <cellStyle name="20% - Colore 3 3" xfId="57"/>
    <cellStyle name="20% - Colore 4 2" xfId="58"/>
    <cellStyle name="20% - Colore 4 2 2" xfId="59"/>
    <cellStyle name="20% - Colore 4 3" xfId="60"/>
    <cellStyle name="20% - Colore 5 2" xfId="61"/>
    <cellStyle name="20% - Colore 5 2 2" xfId="62"/>
    <cellStyle name="20% - Colore 5 3" xfId="63"/>
    <cellStyle name="20% - Colore 6 2" xfId="64"/>
    <cellStyle name="20% - Colore 6 2 2" xfId="65"/>
    <cellStyle name="20% - Colore 6 3" xfId="66"/>
    <cellStyle name="40% - Colore 1 2" xfId="67"/>
    <cellStyle name="40% - Colore 1 2 2" xfId="68"/>
    <cellStyle name="40% - Colore 1 3" xfId="69"/>
    <cellStyle name="40% - Colore 2 2" xfId="70"/>
    <cellStyle name="40% - Colore 2 2 2" xfId="71"/>
    <cellStyle name="40% - Colore 2 3" xfId="72"/>
    <cellStyle name="40% - Colore 3 2" xfId="73"/>
    <cellStyle name="40% - Colore 3 2 2" xfId="74"/>
    <cellStyle name="40% - Colore 3 3" xfId="75"/>
    <cellStyle name="40% - Colore 4 2" xfId="76"/>
    <cellStyle name="40% - Colore 4 2 2" xfId="77"/>
    <cellStyle name="40% - Colore 4 3" xfId="78"/>
    <cellStyle name="40% - Colore 5 2" xfId="79"/>
    <cellStyle name="40% - Colore 5 2 2" xfId="80"/>
    <cellStyle name="40% - Colore 5 3" xfId="81"/>
    <cellStyle name="40% - Colore 6 2" xfId="82"/>
    <cellStyle name="40% - Colore 6 2 2" xfId="83"/>
    <cellStyle name="40% - Colore 6 3" xfId="84"/>
    <cellStyle name="IntestazioneColonne" xfId="85"/>
    <cellStyle name="LabelRiga" xfId="86"/>
    <cellStyle name="LabelTabella" xfId="87"/>
    <cellStyle name="MetriCubi" xfId="88"/>
    <cellStyle name="MetriCubi 2" xfId="89"/>
    <cellStyle name="MetriQuadrati" xfId="90"/>
    <cellStyle name="MetriQuadrati 2" xfId="91"/>
    <cellStyle name="Normale 2" xfId="92"/>
    <cellStyle name="Normale_Copia di costo costruzione" xfId="93"/>
  </cellStyles>
  <dxfs count="10">
    <dxf>
      <fill>
        <patternFill patternType="solid">
          <bgColor rgb="FFFFFF9B"/>
        </patternFill>
      </fill>
    </dxf>
    <dxf>
      <fill>
        <patternFill patternType="solid">
          <bgColor rgb="FF99FF99"/>
        </patternFill>
      </fill>
    </dxf>
    <dxf>
      <fill>
        <patternFill patternType="solid">
          <bgColor rgb="FFFFFF99"/>
        </patternFill>
      </fill>
    </dxf>
    <dxf>
      <font>
        <b val="1"/>
        <i val="0"/>
      </font>
    </dxf>
    <dxf>
      <fill>
        <patternFill patternType="solid">
          <bgColor theme="0"/>
        </patternFill>
      </fill>
    </dxf>
    <dxf>
      <font>
        <color theme="0"/>
      </font>
      <fill>
        <patternFill patternType="solid">
          <bgColor theme="0"/>
        </patternFill>
      </fill>
      <border>
        <left/>
        <right/>
        <top/>
        <bottom/>
      </border>
    </dxf>
    <dxf>
      <font>
        <color theme="0"/>
      </font>
      <fill>
        <patternFill patternType="none"/>
      </fill>
      <border>
        <left/>
        <right/>
        <top/>
        <bottom/>
      </border>
    </dxf>
    <dxf>
      <font>
        <color theme="0" tint="-0.14996795556505"/>
      </font>
    </dxf>
    <dxf>
      <fill>
        <patternFill patternType="solid">
          <bgColor theme="0" tint="-0.14996795556505"/>
        </patternFill>
      </fill>
    </dxf>
    <dxf>
      <font>
        <color theme="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BDBDB"/>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7" Type="http://schemas.openxmlformats.org/officeDocument/2006/relationships/styles" Target="styles.xml"/><Relationship Id="rId16" Type="http://schemas.openxmlformats.org/officeDocument/2006/relationships/sharedStrings" Target="sharedStrings.xml"/><Relationship Id="rId15" Type="http://schemas.openxmlformats.org/officeDocument/2006/relationships/theme" Target="theme/theme1.xml"/><Relationship Id="rId14" Type="http://schemas.openxmlformats.org/officeDocument/2006/relationships/customXml" Target="../customXml/item1.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9" Type="http://schemas.openxmlformats.org/officeDocument/2006/relationships/hyperlink" Target="#'Riepilogo generale'!A1"/><Relationship Id="rId8" Type="http://schemas.openxmlformats.org/officeDocument/2006/relationships/hyperlink" Target="#link_oneri_urbanizzazione_cambio_uso"/><Relationship Id="rId7" Type="http://schemas.openxmlformats.org/officeDocument/2006/relationships/hyperlink" Target="#'Costo costruzione statofatto'!A1"/><Relationship Id="rId6" Type="http://schemas.openxmlformats.org/officeDocument/2006/relationships/hyperlink" Target="#'Determinazione classe'!A1"/><Relationship Id="rId5" Type="http://schemas.openxmlformats.org/officeDocument/2006/relationships/hyperlink" Target="#link_oneri_urbanizzazione"/><Relationship Id="rId4" Type="http://schemas.openxmlformats.org/officeDocument/2006/relationships/image" Target="../media/image3.png"/><Relationship Id="rId3" Type="http://schemas.openxmlformats.org/officeDocument/2006/relationships/image" Target="../media/image2.png"/><Relationship Id="rId2" Type="http://schemas.openxmlformats.org/officeDocument/2006/relationships/image" Target="../media/image1.jpeg"/><Relationship Id="rId16" Type="http://schemas.openxmlformats.org/officeDocument/2006/relationships/hyperlink" Target="#'Calcolo superfici edificio'!A1"/><Relationship Id="rId15" Type="http://schemas.openxmlformats.org/officeDocument/2006/relationships/image" Target="../media/image5.png"/><Relationship Id="rId14" Type="http://schemas.openxmlformats.org/officeDocument/2006/relationships/hyperlink" Target="#'Calcolo superficie parcheggio'!A1"/><Relationship Id="rId13" Type="http://schemas.openxmlformats.org/officeDocument/2006/relationships/hyperlink" Target="#'Costo costruzione progetto'!A1"/><Relationship Id="rId12" Type="http://schemas.openxmlformats.org/officeDocument/2006/relationships/hyperlink" Target="#'Costo Costruzione'!A1"/><Relationship Id="rId11" Type="http://schemas.openxmlformats.org/officeDocument/2006/relationships/image" Target="../media/image4.png"/><Relationship Id="rId10" Type="http://schemas.openxmlformats.org/officeDocument/2006/relationships/hyperlink" Target="#'Riepilogo oneri e costi'!A1"/><Relationship Id="rId1" Type="http://schemas.openxmlformats.org/officeDocument/2006/relationships/hyperlink" Target="#link_monetizzazione_standards"/></Relationships>
</file>

<file path=xl/drawings/_rels/drawing10.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Procedura guidata'!A1"/></Relationships>
</file>

<file path=xl/drawings/_rels/drawing11.xml.rels><?xml version="1.0" encoding="UTF-8" standalone="yes"?>
<Relationships xmlns="http://schemas.openxmlformats.org/package/2006/relationships"><Relationship Id="rId2" Type="http://schemas.openxmlformats.org/officeDocument/2006/relationships/hyperlink" Target="#'Procedura guidata'!A1"/><Relationship Id="rId1" Type="http://schemas.openxmlformats.org/officeDocument/2006/relationships/image" Target="../media/image3.png"/></Relationships>
</file>

<file path=xl/drawings/_rels/drawing2.xml.rels><?xml version="1.0" encoding="UTF-8" standalone="yes"?>
<Relationships xmlns="http://schemas.openxmlformats.org/package/2006/relationships"><Relationship Id="rId2" Type="http://schemas.openxmlformats.org/officeDocument/2006/relationships/hyperlink" Target="#'Procedura guidata'!A1"/><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Procedura guidata'!A1"/></Relationships>
</file>

<file path=xl/drawings/_rels/drawing4.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Procedura guidata'!A1"/></Relationships>
</file>

<file path=xl/drawings/_rels/drawing5.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Procedura guidata'!A1"/></Relationships>
</file>

<file path=xl/drawings/_rels/drawing6.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Procedura guidata'!A1"/></Relationships>
</file>

<file path=xl/drawings/_rels/drawing7.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Procedura guidata'!A1"/></Relationships>
</file>

<file path=xl/drawings/_rels/drawing8.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Procedura guidata'!A1"/></Relationships>
</file>

<file path=xl/drawings/_rels/drawing9.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Procedura guidata'!A1"/></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49</xdr:col>
      <xdr:colOff>38100</xdr:colOff>
      <xdr:row>14</xdr:row>
      <xdr:rowOff>76200</xdr:rowOff>
    </xdr:from>
    <xdr:to>
      <xdr:col>50</xdr:col>
      <xdr:colOff>238125</xdr:colOff>
      <xdr:row>16</xdr:row>
      <xdr:rowOff>114300</xdr:rowOff>
    </xdr:to>
    <xdr:pic>
      <xdr:nvPicPr>
        <xdr:cNvPr id="86252" name="Immagine 15">
          <a:hlinkClick xmlns:r="http://schemas.openxmlformats.org/officeDocument/2006/relationships" r:id="rId1"/>
        </xdr:cNvPr>
        <xdr:cNvPicPr>
          <a:picLocks noChangeAspect="1"/>
        </xdr:cNvPicPr>
      </xdr:nvPicPr>
      <xdr:blipFill>
        <a:blip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a:xfrm>
          <a:off x="12458700" y="2371725"/>
          <a:ext cx="41910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32</xdr:col>
      <xdr:colOff>133350</xdr:colOff>
      <xdr:row>56</xdr:row>
      <xdr:rowOff>38100</xdr:rowOff>
    </xdr:from>
    <xdr:to>
      <xdr:col>33</xdr:col>
      <xdr:colOff>104775</xdr:colOff>
      <xdr:row>57</xdr:row>
      <xdr:rowOff>161925</xdr:rowOff>
    </xdr:to>
    <xdr:pic>
      <xdr:nvPicPr>
        <xdr:cNvPr id="86253" name="Immagine 16"/>
        <xdr:cNvPicPr>
          <a:picLocks noChangeAspect="1"/>
        </xdr:cNvPicPr>
      </xdr:nvPicPr>
      <xdr:blipFill>
        <a:blip r:embed="rId3">
          <a:extLst>
            <a:ext uri="{28A0092B-C50C-407E-A947-70E740481C1C}">
              <a14:useLocalDpi xmlns:a14="http://schemas.microsoft.com/office/drawing/2010/main" val="0"/>
            </a:ext>
          </a:extLst>
        </a:blip>
        <a:srcRect/>
        <a:stretch>
          <a:fillRect/>
        </a:stretch>
      </xdr:blipFill>
      <xdr:spPr>
        <a:xfrm>
          <a:off x="8248650" y="9153525"/>
          <a:ext cx="28575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27</xdr:col>
      <xdr:colOff>171450</xdr:colOff>
      <xdr:row>2</xdr:row>
      <xdr:rowOff>28575</xdr:rowOff>
    </xdr:from>
    <xdr:to>
      <xdr:col>29</xdr:col>
      <xdr:colOff>0</xdr:colOff>
      <xdr:row>5</xdr:row>
      <xdr:rowOff>0</xdr:rowOff>
    </xdr:to>
    <xdr:pic>
      <xdr:nvPicPr>
        <xdr:cNvPr id="86254" name="Immagine 2"/>
        <xdr:cNvPicPr>
          <a:picLocks noChangeAspect="1"/>
        </xdr:cNvPicPr>
      </xdr:nvPicPr>
      <xdr:blipFill>
        <a:blip r:embed="rId4">
          <a:extLst>
            <a:ext uri="{28A0092B-C50C-407E-A947-70E740481C1C}">
              <a14:useLocalDpi xmlns:a14="http://schemas.microsoft.com/office/drawing/2010/main" val="0"/>
            </a:ext>
          </a:extLst>
        </a:blip>
        <a:srcRect/>
        <a:stretch>
          <a:fillRect/>
        </a:stretch>
      </xdr:blipFill>
      <xdr:spPr>
        <a:xfrm>
          <a:off x="6981825" y="381000"/>
          <a:ext cx="457200"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66675</xdr:colOff>
      <xdr:row>10</xdr:row>
      <xdr:rowOff>66675</xdr:rowOff>
    </xdr:from>
    <xdr:to>
      <xdr:col>8</xdr:col>
      <xdr:colOff>104775</xdr:colOff>
      <xdr:row>12</xdr:row>
      <xdr:rowOff>104775</xdr:rowOff>
    </xdr:to>
    <xdr:pic>
      <xdr:nvPicPr>
        <xdr:cNvPr id="86255" name="Immagine 3">
          <a:hlinkClick xmlns:r="http://schemas.openxmlformats.org/officeDocument/2006/relationships" r:id="rId5"/>
        </xdr:cNvPr>
        <xdr:cNvPicPr>
          <a:picLocks noChangeAspect="1"/>
        </xdr:cNvPicPr>
      </xdr:nvPicPr>
      <xdr:blipFill>
        <a:blip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a:xfrm>
          <a:off x="1685925" y="1714500"/>
          <a:ext cx="41910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180975</xdr:colOff>
      <xdr:row>22</xdr:row>
      <xdr:rowOff>85725</xdr:rowOff>
    </xdr:from>
    <xdr:to>
      <xdr:col>7</xdr:col>
      <xdr:colOff>352425</xdr:colOff>
      <xdr:row>24</xdr:row>
      <xdr:rowOff>123825</xdr:rowOff>
    </xdr:to>
    <xdr:pic>
      <xdr:nvPicPr>
        <xdr:cNvPr id="86256" name="Immagine 4">
          <a:hlinkClick xmlns:r="http://schemas.openxmlformats.org/officeDocument/2006/relationships" r:id="rId6"/>
        </xdr:cNvPr>
        <xdr:cNvPicPr>
          <a:picLocks noChangeAspect="1"/>
        </xdr:cNvPicPr>
      </xdr:nvPicPr>
      <xdr:blipFill>
        <a:blip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a:xfrm>
          <a:off x="1552575" y="3676650"/>
          <a:ext cx="41910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104775</xdr:colOff>
      <xdr:row>30</xdr:row>
      <xdr:rowOff>66675</xdr:rowOff>
    </xdr:from>
    <xdr:to>
      <xdr:col>8</xdr:col>
      <xdr:colOff>142875</xdr:colOff>
      <xdr:row>32</xdr:row>
      <xdr:rowOff>104775</xdr:rowOff>
    </xdr:to>
    <xdr:pic>
      <xdr:nvPicPr>
        <xdr:cNvPr id="86257" name="Immagine 7">
          <a:hlinkClick xmlns:r="http://schemas.openxmlformats.org/officeDocument/2006/relationships" r:id="rId1"/>
        </xdr:cNvPr>
        <xdr:cNvPicPr>
          <a:picLocks noChangeAspect="1"/>
        </xdr:cNvPicPr>
      </xdr:nvPicPr>
      <xdr:blipFill>
        <a:blip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a:xfrm>
          <a:off x="1724025" y="4953000"/>
          <a:ext cx="41910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27</xdr:col>
      <xdr:colOff>152400</xdr:colOff>
      <xdr:row>10</xdr:row>
      <xdr:rowOff>47625</xdr:rowOff>
    </xdr:from>
    <xdr:to>
      <xdr:col>28</xdr:col>
      <xdr:colOff>190500</xdr:colOff>
      <xdr:row>12</xdr:row>
      <xdr:rowOff>85725</xdr:rowOff>
    </xdr:to>
    <xdr:pic>
      <xdr:nvPicPr>
        <xdr:cNvPr id="86258" name="Immagine 8">
          <a:hlinkClick xmlns:r="http://schemas.openxmlformats.org/officeDocument/2006/relationships" r:id="rId5"/>
        </xdr:cNvPr>
        <xdr:cNvPicPr>
          <a:picLocks noChangeAspect="1"/>
        </xdr:cNvPicPr>
      </xdr:nvPicPr>
      <xdr:blipFill>
        <a:blip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a:xfrm>
          <a:off x="6962775" y="1695450"/>
          <a:ext cx="41910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26</xdr:col>
      <xdr:colOff>161925</xdr:colOff>
      <xdr:row>22</xdr:row>
      <xdr:rowOff>66675</xdr:rowOff>
    </xdr:from>
    <xdr:to>
      <xdr:col>27</xdr:col>
      <xdr:colOff>371475</xdr:colOff>
      <xdr:row>24</xdr:row>
      <xdr:rowOff>104775</xdr:rowOff>
    </xdr:to>
    <xdr:pic>
      <xdr:nvPicPr>
        <xdr:cNvPr id="86259" name="Immagine 9">
          <a:hlinkClick xmlns:r="http://schemas.openxmlformats.org/officeDocument/2006/relationships" r:id="rId6"/>
        </xdr:cNvPr>
        <xdr:cNvPicPr>
          <a:picLocks noChangeAspect="1"/>
        </xdr:cNvPicPr>
      </xdr:nvPicPr>
      <xdr:blipFill>
        <a:blip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a:xfrm>
          <a:off x="6753225" y="3657600"/>
          <a:ext cx="428625"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26</xdr:col>
      <xdr:colOff>171450</xdr:colOff>
      <xdr:row>34</xdr:row>
      <xdr:rowOff>66675</xdr:rowOff>
    </xdr:from>
    <xdr:to>
      <xdr:col>28</xdr:col>
      <xdr:colOff>0</xdr:colOff>
      <xdr:row>36</xdr:row>
      <xdr:rowOff>104775</xdr:rowOff>
    </xdr:to>
    <xdr:pic>
      <xdr:nvPicPr>
        <xdr:cNvPr id="86260" name="Immagine 10">
          <a:hlinkClick xmlns:r="http://schemas.openxmlformats.org/officeDocument/2006/relationships" r:id="rId7"/>
        </xdr:cNvPr>
        <xdr:cNvPicPr>
          <a:picLocks noChangeAspect="1"/>
        </xdr:cNvPicPr>
      </xdr:nvPicPr>
      <xdr:blipFill>
        <a:blip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a:xfrm>
          <a:off x="6762750" y="5600700"/>
          <a:ext cx="428625"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38</xdr:col>
      <xdr:colOff>142875</xdr:colOff>
      <xdr:row>10</xdr:row>
      <xdr:rowOff>66675</xdr:rowOff>
    </xdr:from>
    <xdr:to>
      <xdr:col>39</xdr:col>
      <xdr:colOff>180975</xdr:colOff>
      <xdr:row>12</xdr:row>
      <xdr:rowOff>104775</xdr:rowOff>
    </xdr:to>
    <xdr:pic>
      <xdr:nvPicPr>
        <xdr:cNvPr id="86261" name="Immagine 12">
          <a:hlinkClick xmlns:r="http://schemas.openxmlformats.org/officeDocument/2006/relationships" r:id="rId5"/>
        </xdr:cNvPr>
        <xdr:cNvPicPr>
          <a:picLocks noChangeAspect="1"/>
        </xdr:cNvPicPr>
      </xdr:nvPicPr>
      <xdr:blipFill>
        <a:blip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a:xfrm>
          <a:off x="9696450" y="1714500"/>
          <a:ext cx="41910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37</xdr:col>
      <xdr:colOff>171450</xdr:colOff>
      <xdr:row>22</xdr:row>
      <xdr:rowOff>85725</xdr:rowOff>
    </xdr:from>
    <xdr:to>
      <xdr:col>39</xdr:col>
      <xdr:colOff>0</xdr:colOff>
      <xdr:row>24</xdr:row>
      <xdr:rowOff>123825</xdr:rowOff>
    </xdr:to>
    <xdr:pic>
      <xdr:nvPicPr>
        <xdr:cNvPr id="86262" name="Immagine 13">
          <a:hlinkClick xmlns:r="http://schemas.openxmlformats.org/officeDocument/2006/relationships" r:id="rId6"/>
        </xdr:cNvPr>
        <xdr:cNvPicPr>
          <a:picLocks noChangeAspect="1"/>
        </xdr:cNvPicPr>
      </xdr:nvPicPr>
      <xdr:blipFill>
        <a:blip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a:xfrm>
          <a:off x="9505950" y="3676650"/>
          <a:ext cx="428625"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49</xdr:col>
      <xdr:colOff>28575</xdr:colOff>
      <xdr:row>10</xdr:row>
      <xdr:rowOff>57150</xdr:rowOff>
    </xdr:from>
    <xdr:to>
      <xdr:col>50</xdr:col>
      <xdr:colOff>228600</xdr:colOff>
      <xdr:row>12</xdr:row>
      <xdr:rowOff>95250</xdr:rowOff>
    </xdr:to>
    <xdr:pic>
      <xdr:nvPicPr>
        <xdr:cNvPr id="86263" name="Immagine 15">
          <a:hlinkClick xmlns:r="http://schemas.openxmlformats.org/officeDocument/2006/relationships" r:id="rId8"/>
        </xdr:cNvPr>
        <xdr:cNvPicPr>
          <a:picLocks noChangeAspect="1"/>
        </xdr:cNvPicPr>
      </xdr:nvPicPr>
      <xdr:blipFill>
        <a:blip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a:xfrm>
          <a:off x="12449175" y="1704975"/>
          <a:ext cx="41910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22</xdr:col>
      <xdr:colOff>190500</xdr:colOff>
      <xdr:row>55</xdr:row>
      <xdr:rowOff>9525</xdr:rowOff>
    </xdr:from>
    <xdr:to>
      <xdr:col>24</xdr:col>
      <xdr:colOff>200025</xdr:colOff>
      <xdr:row>57</xdr:row>
      <xdr:rowOff>152400</xdr:rowOff>
    </xdr:to>
    <xdr:pic>
      <xdr:nvPicPr>
        <xdr:cNvPr id="86264" name="Immagine 16">
          <a:hlinkClick xmlns:r="http://schemas.openxmlformats.org/officeDocument/2006/relationships" r:id="rId9"/>
        </xdr:cNvPr>
        <xdr:cNvPicPr>
          <a:picLocks noChangeAspect="1"/>
        </xdr:cNvPicPr>
      </xdr:nvPicPr>
      <xdr:blipFill>
        <a:blip r:embed="rId3">
          <a:extLst>
            <a:ext uri="{28A0092B-C50C-407E-A947-70E740481C1C}">
              <a14:useLocalDpi xmlns:a14="http://schemas.microsoft.com/office/drawing/2010/main" val="0"/>
            </a:ext>
          </a:extLst>
        </a:blip>
        <a:srcRect/>
        <a:stretch>
          <a:fillRect/>
        </a:stretch>
      </xdr:blipFill>
      <xdr:spPr>
        <a:xfrm>
          <a:off x="5876925" y="8953500"/>
          <a:ext cx="476250"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31</xdr:col>
      <xdr:colOff>238125</xdr:colOff>
      <xdr:row>55</xdr:row>
      <xdr:rowOff>19050</xdr:rowOff>
    </xdr:from>
    <xdr:to>
      <xdr:col>33</xdr:col>
      <xdr:colOff>152400</xdr:colOff>
      <xdr:row>57</xdr:row>
      <xdr:rowOff>161925</xdr:rowOff>
    </xdr:to>
    <xdr:pic>
      <xdr:nvPicPr>
        <xdr:cNvPr id="86265" name="Immagine 18">
          <a:hlinkClick xmlns:r="http://schemas.openxmlformats.org/officeDocument/2006/relationships" r:id="rId10"/>
        </xdr:cNvPr>
        <xdr:cNvPicPr>
          <a:picLocks noChangeAspect="1"/>
        </xdr:cNvPicPr>
      </xdr:nvPicPr>
      <xdr:blipFill>
        <a:blip r:embed="rId11">
          <a:extLst>
            <a:ext uri="{28A0092B-C50C-407E-A947-70E740481C1C}">
              <a14:useLocalDpi xmlns:a14="http://schemas.microsoft.com/office/drawing/2010/main" val="0"/>
            </a:ext>
          </a:extLst>
        </a:blip>
        <a:srcRect/>
        <a:stretch>
          <a:fillRect/>
        </a:stretch>
      </xdr:blipFill>
      <xdr:spPr>
        <a:xfrm>
          <a:off x="8115300" y="8963025"/>
          <a:ext cx="466725"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180975</xdr:colOff>
      <xdr:row>26</xdr:row>
      <xdr:rowOff>66675</xdr:rowOff>
    </xdr:from>
    <xdr:to>
      <xdr:col>7</xdr:col>
      <xdr:colOff>352425</xdr:colOff>
      <xdr:row>28</xdr:row>
      <xdr:rowOff>104775</xdr:rowOff>
    </xdr:to>
    <xdr:pic>
      <xdr:nvPicPr>
        <xdr:cNvPr id="86266" name="Immagine 4">
          <a:hlinkClick xmlns:r="http://schemas.openxmlformats.org/officeDocument/2006/relationships" r:id="rId12"/>
        </xdr:cNvPr>
        <xdr:cNvPicPr>
          <a:picLocks noChangeAspect="1"/>
        </xdr:cNvPicPr>
      </xdr:nvPicPr>
      <xdr:blipFill>
        <a:blip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a:xfrm>
          <a:off x="1552575" y="4305300"/>
          <a:ext cx="41910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26</xdr:col>
      <xdr:colOff>171450</xdr:colOff>
      <xdr:row>26</xdr:row>
      <xdr:rowOff>57150</xdr:rowOff>
    </xdr:from>
    <xdr:to>
      <xdr:col>28</xdr:col>
      <xdr:colOff>0</xdr:colOff>
      <xdr:row>28</xdr:row>
      <xdr:rowOff>95250</xdr:rowOff>
    </xdr:to>
    <xdr:pic>
      <xdr:nvPicPr>
        <xdr:cNvPr id="86267" name="Immagine 9">
          <a:hlinkClick xmlns:r="http://schemas.openxmlformats.org/officeDocument/2006/relationships" r:id="rId12"/>
        </xdr:cNvPr>
        <xdr:cNvPicPr>
          <a:picLocks noChangeAspect="1"/>
        </xdr:cNvPicPr>
      </xdr:nvPicPr>
      <xdr:blipFill>
        <a:blip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a:xfrm>
          <a:off x="6762750" y="4295775"/>
          <a:ext cx="428625"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37</xdr:col>
      <xdr:colOff>171450</xdr:colOff>
      <xdr:row>26</xdr:row>
      <xdr:rowOff>57150</xdr:rowOff>
    </xdr:from>
    <xdr:to>
      <xdr:col>39</xdr:col>
      <xdr:colOff>0</xdr:colOff>
      <xdr:row>28</xdr:row>
      <xdr:rowOff>95250</xdr:rowOff>
    </xdr:to>
    <xdr:pic>
      <xdr:nvPicPr>
        <xdr:cNvPr id="86268" name="Immagine 13">
          <a:hlinkClick xmlns:r="http://schemas.openxmlformats.org/officeDocument/2006/relationships" r:id="rId12"/>
        </xdr:cNvPr>
        <xdr:cNvPicPr>
          <a:picLocks noChangeAspect="1"/>
        </xdr:cNvPicPr>
      </xdr:nvPicPr>
      <xdr:blipFill>
        <a:blip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a:xfrm>
          <a:off x="9505950" y="4295775"/>
          <a:ext cx="428625"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26</xdr:col>
      <xdr:colOff>171450</xdr:colOff>
      <xdr:row>38</xdr:row>
      <xdr:rowOff>47625</xdr:rowOff>
    </xdr:from>
    <xdr:to>
      <xdr:col>28</xdr:col>
      <xdr:colOff>0</xdr:colOff>
      <xdr:row>40</xdr:row>
      <xdr:rowOff>85725</xdr:rowOff>
    </xdr:to>
    <xdr:pic>
      <xdr:nvPicPr>
        <xdr:cNvPr id="86269" name="Immagine 10">
          <a:hlinkClick xmlns:r="http://schemas.openxmlformats.org/officeDocument/2006/relationships" r:id="rId13"/>
        </xdr:cNvPr>
        <xdr:cNvPicPr>
          <a:picLocks noChangeAspect="1"/>
        </xdr:cNvPicPr>
      </xdr:nvPicPr>
      <xdr:blipFill>
        <a:blip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a:xfrm>
          <a:off x="6762750" y="6229350"/>
          <a:ext cx="428625"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38</xdr:col>
      <xdr:colOff>200025</xdr:colOff>
      <xdr:row>30</xdr:row>
      <xdr:rowOff>47625</xdr:rowOff>
    </xdr:from>
    <xdr:to>
      <xdr:col>40</xdr:col>
      <xdr:colOff>0</xdr:colOff>
      <xdr:row>32</xdr:row>
      <xdr:rowOff>85725</xdr:rowOff>
    </xdr:to>
    <xdr:pic>
      <xdr:nvPicPr>
        <xdr:cNvPr id="86270" name="Immagine 13">
          <a:hlinkClick xmlns:r="http://schemas.openxmlformats.org/officeDocument/2006/relationships" r:id="rId14"/>
        </xdr:cNvPr>
        <xdr:cNvPicPr>
          <a:picLocks noChangeAspect="1"/>
        </xdr:cNvPicPr>
      </xdr:nvPicPr>
      <xdr:blipFill>
        <a:blip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a:xfrm>
          <a:off x="9753600" y="4933950"/>
          <a:ext cx="428625"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38</xdr:col>
      <xdr:colOff>209550</xdr:colOff>
      <xdr:row>34</xdr:row>
      <xdr:rowOff>57150</xdr:rowOff>
    </xdr:from>
    <xdr:to>
      <xdr:col>40</xdr:col>
      <xdr:colOff>0</xdr:colOff>
      <xdr:row>36</xdr:row>
      <xdr:rowOff>95250</xdr:rowOff>
    </xdr:to>
    <xdr:pic>
      <xdr:nvPicPr>
        <xdr:cNvPr id="86271" name="Immagine 12">
          <a:hlinkClick xmlns:r="http://schemas.openxmlformats.org/officeDocument/2006/relationships" r:id="rId1"/>
        </xdr:cNvPr>
        <xdr:cNvPicPr>
          <a:picLocks noChangeAspect="1"/>
        </xdr:cNvPicPr>
      </xdr:nvPicPr>
      <xdr:blipFill>
        <a:blip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a:xfrm>
          <a:off x="9763125" y="5591175"/>
          <a:ext cx="41910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17</xdr:col>
      <xdr:colOff>123825</xdr:colOff>
      <xdr:row>10</xdr:row>
      <xdr:rowOff>76200</xdr:rowOff>
    </xdr:from>
    <xdr:to>
      <xdr:col>18</xdr:col>
      <xdr:colOff>161925</xdr:colOff>
      <xdr:row>12</xdr:row>
      <xdr:rowOff>114300</xdr:rowOff>
    </xdr:to>
    <xdr:pic>
      <xdr:nvPicPr>
        <xdr:cNvPr id="86272" name="Immagine 3">
          <a:hlinkClick xmlns:r="http://schemas.openxmlformats.org/officeDocument/2006/relationships" r:id="rId5"/>
        </xdr:cNvPr>
        <xdr:cNvPicPr>
          <a:picLocks noChangeAspect="1"/>
        </xdr:cNvPicPr>
      </xdr:nvPicPr>
      <xdr:blipFill>
        <a:blip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a:xfrm>
          <a:off x="4305300" y="1724025"/>
          <a:ext cx="41910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180975</xdr:colOff>
      <xdr:row>22</xdr:row>
      <xdr:rowOff>85725</xdr:rowOff>
    </xdr:from>
    <xdr:to>
      <xdr:col>18</xdr:col>
      <xdr:colOff>0</xdr:colOff>
      <xdr:row>24</xdr:row>
      <xdr:rowOff>123825</xdr:rowOff>
    </xdr:to>
    <xdr:pic>
      <xdr:nvPicPr>
        <xdr:cNvPr id="86273" name="Immagine 4">
          <a:hlinkClick xmlns:r="http://schemas.openxmlformats.org/officeDocument/2006/relationships" r:id="rId6"/>
        </xdr:cNvPr>
        <xdr:cNvPicPr>
          <a:picLocks noChangeAspect="1"/>
        </xdr:cNvPicPr>
      </xdr:nvPicPr>
      <xdr:blipFill>
        <a:blip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a:xfrm>
          <a:off x="4143375" y="3676650"/>
          <a:ext cx="41910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17</xdr:col>
      <xdr:colOff>133350</xdr:colOff>
      <xdr:row>30</xdr:row>
      <xdr:rowOff>57150</xdr:rowOff>
    </xdr:from>
    <xdr:to>
      <xdr:col>18</xdr:col>
      <xdr:colOff>171450</xdr:colOff>
      <xdr:row>32</xdr:row>
      <xdr:rowOff>95250</xdr:rowOff>
    </xdr:to>
    <xdr:pic>
      <xdr:nvPicPr>
        <xdr:cNvPr id="86274" name="Immagine 7">
          <a:hlinkClick xmlns:r="http://schemas.openxmlformats.org/officeDocument/2006/relationships" r:id="rId1"/>
        </xdr:cNvPr>
        <xdr:cNvPicPr>
          <a:picLocks noChangeAspect="1"/>
        </xdr:cNvPicPr>
      </xdr:nvPicPr>
      <xdr:blipFill>
        <a:blip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a:xfrm>
          <a:off x="4314825" y="4943475"/>
          <a:ext cx="41910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180975</xdr:colOff>
      <xdr:row>26</xdr:row>
      <xdr:rowOff>66675</xdr:rowOff>
    </xdr:from>
    <xdr:to>
      <xdr:col>18</xdr:col>
      <xdr:colOff>0</xdr:colOff>
      <xdr:row>28</xdr:row>
      <xdr:rowOff>104775</xdr:rowOff>
    </xdr:to>
    <xdr:pic>
      <xdr:nvPicPr>
        <xdr:cNvPr id="86275" name="Immagine 4">
          <a:hlinkClick xmlns:r="http://schemas.openxmlformats.org/officeDocument/2006/relationships" r:id="rId12"/>
        </xdr:cNvPr>
        <xdr:cNvPicPr>
          <a:picLocks noChangeAspect="1"/>
        </xdr:cNvPicPr>
      </xdr:nvPicPr>
      <xdr:blipFill>
        <a:blip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a:xfrm>
          <a:off x="4143375" y="4305300"/>
          <a:ext cx="41910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32</xdr:col>
      <xdr:colOff>304800</xdr:colOff>
      <xdr:row>49</xdr:row>
      <xdr:rowOff>19050</xdr:rowOff>
    </xdr:from>
    <xdr:to>
      <xdr:col>34</xdr:col>
      <xdr:colOff>209550</xdr:colOff>
      <xdr:row>52</xdr:row>
      <xdr:rowOff>0</xdr:rowOff>
    </xdr:to>
    <xdr:pic>
      <xdr:nvPicPr>
        <xdr:cNvPr id="86280" name="Immagine 18"/>
        <xdr:cNvPicPr>
          <a:picLocks noChangeAspect="1"/>
        </xdr:cNvPicPr>
      </xdr:nvPicPr>
      <xdr:blipFill>
        <a:blip r:embed="rId15">
          <a:extLst>
            <a:ext uri="{28A0092B-C50C-407E-A947-70E740481C1C}">
              <a14:useLocalDpi xmlns:a14="http://schemas.microsoft.com/office/drawing/2010/main" val="0"/>
            </a:ext>
          </a:extLst>
        </a:blip>
        <a:srcRect/>
        <a:stretch>
          <a:fillRect/>
        </a:stretch>
      </xdr:blipFill>
      <xdr:spPr>
        <a:xfrm>
          <a:off x="8420100" y="7981950"/>
          <a:ext cx="466725"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180975</xdr:colOff>
      <xdr:row>18</xdr:row>
      <xdr:rowOff>85725</xdr:rowOff>
    </xdr:from>
    <xdr:to>
      <xdr:col>7</xdr:col>
      <xdr:colOff>352425</xdr:colOff>
      <xdr:row>20</xdr:row>
      <xdr:rowOff>123825</xdr:rowOff>
    </xdr:to>
    <xdr:pic>
      <xdr:nvPicPr>
        <xdr:cNvPr id="86281" name="Immagine 4">
          <a:hlinkClick xmlns:r="http://schemas.openxmlformats.org/officeDocument/2006/relationships" r:id="rId16"/>
        </xdr:cNvPr>
        <xdr:cNvPicPr>
          <a:picLocks noChangeAspect="1"/>
        </xdr:cNvPicPr>
      </xdr:nvPicPr>
      <xdr:blipFill>
        <a:blip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a:xfrm>
          <a:off x="1552575" y="3028950"/>
          <a:ext cx="41910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180975</xdr:colOff>
      <xdr:row>18</xdr:row>
      <xdr:rowOff>85725</xdr:rowOff>
    </xdr:from>
    <xdr:to>
      <xdr:col>18</xdr:col>
      <xdr:colOff>0</xdr:colOff>
      <xdr:row>20</xdr:row>
      <xdr:rowOff>123825</xdr:rowOff>
    </xdr:to>
    <xdr:pic>
      <xdr:nvPicPr>
        <xdr:cNvPr id="86282" name="Immagine 4">
          <a:hlinkClick xmlns:r="http://schemas.openxmlformats.org/officeDocument/2006/relationships" r:id="rId16"/>
        </xdr:cNvPr>
        <xdr:cNvPicPr>
          <a:picLocks noChangeAspect="1"/>
        </xdr:cNvPicPr>
      </xdr:nvPicPr>
      <xdr:blipFill>
        <a:blip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a:xfrm>
          <a:off x="4143375" y="3028950"/>
          <a:ext cx="41910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26</xdr:col>
      <xdr:colOff>180975</xdr:colOff>
      <xdr:row>18</xdr:row>
      <xdr:rowOff>85725</xdr:rowOff>
    </xdr:from>
    <xdr:to>
      <xdr:col>28</xdr:col>
      <xdr:colOff>0</xdr:colOff>
      <xdr:row>20</xdr:row>
      <xdr:rowOff>123825</xdr:rowOff>
    </xdr:to>
    <xdr:pic>
      <xdr:nvPicPr>
        <xdr:cNvPr id="86283" name="Immagine 4">
          <a:hlinkClick xmlns:r="http://schemas.openxmlformats.org/officeDocument/2006/relationships" r:id="rId16"/>
        </xdr:cNvPr>
        <xdr:cNvPicPr>
          <a:picLocks noChangeAspect="1"/>
        </xdr:cNvPicPr>
      </xdr:nvPicPr>
      <xdr:blipFill>
        <a:blip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a:xfrm>
          <a:off x="6772275" y="3028950"/>
          <a:ext cx="41910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37</xdr:col>
      <xdr:colOff>180975</xdr:colOff>
      <xdr:row>18</xdr:row>
      <xdr:rowOff>85725</xdr:rowOff>
    </xdr:from>
    <xdr:to>
      <xdr:col>39</xdr:col>
      <xdr:colOff>0</xdr:colOff>
      <xdr:row>20</xdr:row>
      <xdr:rowOff>123825</xdr:rowOff>
    </xdr:to>
    <xdr:pic>
      <xdr:nvPicPr>
        <xdr:cNvPr id="86284" name="Immagine 4">
          <a:hlinkClick xmlns:r="http://schemas.openxmlformats.org/officeDocument/2006/relationships" r:id="rId16"/>
        </xdr:cNvPr>
        <xdr:cNvPicPr>
          <a:picLocks noChangeAspect="1"/>
        </xdr:cNvPicPr>
      </xdr:nvPicPr>
      <xdr:blipFill>
        <a:blip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a:xfrm>
          <a:off x="9515475" y="3028950"/>
          <a:ext cx="41910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r="http://schemas.openxmlformats.org/officeDocument/2006/relationships" xmlns:a="http://schemas.openxmlformats.org/drawingml/2006/main">
  <xdr:twoCellAnchor editAs="oneCell">
    <xdr:from>
      <xdr:col>4</xdr:col>
      <xdr:colOff>323850</xdr:colOff>
      <xdr:row>2</xdr:row>
      <xdr:rowOff>57150</xdr:rowOff>
    </xdr:from>
    <xdr:to>
      <xdr:col>4</xdr:col>
      <xdr:colOff>933450</xdr:colOff>
      <xdr:row>4</xdr:row>
      <xdr:rowOff>19050</xdr:rowOff>
    </xdr:to>
    <xdr:pic>
      <xdr:nvPicPr>
        <xdr:cNvPr id="52411" name="Immagine 1">
          <a:hlinkClick xmlns:r="http://schemas.openxmlformats.org/officeDocument/2006/relationships" r:id="rId1"/>
        </xdr:cNvPr>
        <xdr:cNvPicPr>
          <a:picLocks noChangeAspect="1"/>
        </xdr:cNvPicPr>
      </xdr:nvPicPr>
      <xdr:blipFill>
        <a:blip r:embed="rId2">
          <a:extLst>
            <a:ext uri="{28A0092B-C50C-407E-A947-70E740481C1C}">
              <a14:useLocalDpi xmlns:a14="http://schemas.microsoft.com/office/drawing/2010/main" val="0"/>
            </a:ext>
          </a:extLst>
        </a:blip>
        <a:srcRect/>
        <a:stretch>
          <a:fillRect/>
        </a:stretch>
      </xdr:blipFill>
      <xdr:spPr>
        <a:xfrm>
          <a:off x="3314700" y="790575"/>
          <a:ext cx="60960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r="http://schemas.openxmlformats.org/officeDocument/2006/relationships" xmlns:a="http://schemas.openxmlformats.org/drawingml/2006/main">
  <xdr:twoCellAnchor editAs="oneCell">
    <xdr:from>
      <xdr:col>8</xdr:col>
      <xdr:colOff>333375</xdr:colOff>
      <xdr:row>4</xdr:row>
      <xdr:rowOff>19050</xdr:rowOff>
    </xdr:from>
    <xdr:to>
      <xdr:col>8</xdr:col>
      <xdr:colOff>333375</xdr:colOff>
      <xdr:row>8</xdr:row>
      <xdr:rowOff>28575</xdr:rowOff>
    </xdr:to>
    <xdr:pic>
      <xdr:nvPicPr>
        <xdr:cNvPr id="79229" name="Immagine 1"/>
        <xdr:cNvPicPr>
          <a:picLocks noChangeAspect="1"/>
        </xdr:cNvPicPr>
      </xdr:nvPicPr>
      <xdr:blipFill>
        <a:blip r:embed="rId1">
          <a:extLst>
            <a:ext uri="{28A0092B-C50C-407E-A947-70E740481C1C}">
              <a14:useLocalDpi xmlns:a14="http://schemas.microsoft.com/office/drawing/2010/main" val="0"/>
            </a:ext>
          </a:extLst>
        </a:blip>
        <a:srcRect/>
        <a:stretch>
          <a:fillRect/>
        </a:stretch>
      </xdr:blipFill>
      <xdr:spPr>
        <a:xfrm>
          <a:off x="7334250" y="733425"/>
          <a:ext cx="0"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333375</xdr:colOff>
      <xdr:row>3</xdr:row>
      <xdr:rowOff>180975</xdr:rowOff>
    </xdr:from>
    <xdr:to>
      <xdr:col>8</xdr:col>
      <xdr:colOff>914400</xdr:colOff>
      <xdr:row>7</xdr:row>
      <xdr:rowOff>152400</xdr:rowOff>
    </xdr:to>
    <xdr:pic>
      <xdr:nvPicPr>
        <xdr:cNvPr id="79230" name="Immagine 1">
          <a:hlinkClick xmlns:r="http://schemas.openxmlformats.org/officeDocument/2006/relationships" r:id="rId2"/>
        </xdr:cNvPr>
        <xdr:cNvPicPr>
          <a:picLocks noChangeAspect="1"/>
        </xdr:cNvPicPr>
      </xdr:nvPicPr>
      <xdr:blipFill>
        <a:blip r:embed="rId1">
          <a:extLst>
            <a:ext uri="{28A0092B-C50C-407E-A947-70E740481C1C}">
              <a14:useLocalDpi xmlns:a14="http://schemas.microsoft.com/office/drawing/2010/main" val="0"/>
            </a:ext>
          </a:extLst>
        </a:blip>
        <a:srcRect/>
        <a:stretch>
          <a:fillRect/>
        </a:stretch>
      </xdr:blipFill>
      <xdr:spPr>
        <a:xfrm>
          <a:off x="7334250" y="704850"/>
          <a:ext cx="581025"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6</xdr:col>
      <xdr:colOff>333375</xdr:colOff>
      <xdr:row>2</xdr:row>
      <xdr:rowOff>19050</xdr:rowOff>
    </xdr:from>
    <xdr:to>
      <xdr:col>6</xdr:col>
      <xdr:colOff>333375</xdr:colOff>
      <xdr:row>6</xdr:row>
      <xdr:rowOff>9525</xdr:rowOff>
    </xdr:to>
    <xdr:pic>
      <xdr:nvPicPr>
        <xdr:cNvPr id="2407" name="Immagine 1"/>
        <xdr:cNvPicPr>
          <a:picLocks noChangeAspect="1"/>
        </xdr:cNvPicPr>
      </xdr:nvPicPr>
      <xdr:blipFill>
        <a:blip r:embed="rId1">
          <a:extLst>
            <a:ext uri="{28A0092B-C50C-407E-A947-70E740481C1C}">
              <a14:useLocalDpi xmlns:a14="http://schemas.microsoft.com/office/drawing/2010/main" val="0"/>
            </a:ext>
          </a:extLst>
        </a:blip>
        <a:srcRect/>
        <a:stretch>
          <a:fillRect/>
        </a:stretch>
      </xdr:blipFill>
      <xdr:spPr>
        <a:xfrm>
          <a:off x="8153400" y="371475"/>
          <a:ext cx="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314325</xdr:colOff>
      <xdr:row>1</xdr:row>
      <xdr:rowOff>47625</xdr:rowOff>
    </xdr:from>
    <xdr:to>
      <xdr:col>6</xdr:col>
      <xdr:colOff>923925</xdr:colOff>
      <xdr:row>4</xdr:row>
      <xdr:rowOff>142875</xdr:rowOff>
    </xdr:to>
    <xdr:pic>
      <xdr:nvPicPr>
        <xdr:cNvPr id="2408" name="Immagine 1">
          <a:hlinkClick xmlns:r="http://schemas.openxmlformats.org/officeDocument/2006/relationships" r:id="rId2"/>
        </xdr:cNvPr>
        <xdr:cNvPicPr>
          <a:picLocks noChangeAspect="1"/>
        </xdr:cNvPicPr>
      </xdr:nvPicPr>
      <xdr:blipFill>
        <a:blip r:embed="rId1">
          <a:extLst>
            <a:ext uri="{28A0092B-C50C-407E-A947-70E740481C1C}">
              <a14:useLocalDpi xmlns:a14="http://schemas.microsoft.com/office/drawing/2010/main" val="0"/>
            </a:ext>
          </a:extLst>
        </a:blip>
        <a:srcRect/>
        <a:stretch>
          <a:fillRect/>
        </a:stretch>
      </xdr:blipFill>
      <xdr:spPr>
        <a:xfrm>
          <a:off x="8134350" y="209550"/>
          <a:ext cx="60960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editAs="oneCell">
    <xdr:from>
      <xdr:col>14</xdr:col>
      <xdr:colOff>333375</xdr:colOff>
      <xdr:row>1</xdr:row>
      <xdr:rowOff>28575</xdr:rowOff>
    </xdr:from>
    <xdr:to>
      <xdr:col>14</xdr:col>
      <xdr:colOff>942975</xdr:colOff>
      <xdr:row>4</xdr:row>
      <xdr:rowOff>9525</xdr:rowOff>
    </xdr:to>
    <xdr:pic>
      <xdr:nvPicPr>
        <xdr:cNvPr id="25956" name="Immagine 1">
          <a:hlinkClick xmlns:r="http://schemas.openxmlformats.org/officeDocument/2006/relationships" r:id="rId1"/>
        </xdr:cNvPr>
        <xdr:cNvPicPr>
          <a:picLocks noChangeAspect="1"/>
        </xdr:cNvPicPr>
      </xdr:nvPicPr>
      <xdr:blipFill>
        <a:blip r:embed="rId2">
          <a:extLst>
            <a:ext uri="{28A0092B-C50C-407E-A947-70E740481C1C}">
              <a14:useLocalDpi xmlns:a14="http://schemas.microsoft.com/office/drawing/2010/main" val="0"/>
            </a:ext>
          </a:extLst>
        </a:blip>
        <a:srcRect/>
        <a:stretch>
          <a:fillRect/>
        </a:stretch>
      </xdr:blipFill>
      <xdr:spPr>
        <a:xfrm>
          <a:off x="10753725" y="190500"/>
          <a:ext cx="609600" cy="617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r="http://schemas.openxmlformats.org/officeDocument/2006/relationships" xmlns:a="http://schemas.openxmlformats.org/drawingml/2006/main">
  <xdr:twoCellAnchor editAs="oneCell">
    <xdr:from>
      <xdr:col>8</xdr:col>
      <xdr:colOff>333375</xdr:colOff>
      <xdr:row>1</xdr:row>
      <xdr:rowOff>57150</xdr:rowOff>
    </xdr:from>
    <xdr:to>
      <xdr:col>8</xdr:col>
      <xdr:colOff>942975</xdr:colOff>
      <xdr:row>5</xdr:row>
      <xdr:rowOff>19050</xdr:rowOff>
    </xdr:to>
    <xdr:pic>
      <xdr:nvPicPr>
        <xdr:cNvPr id="68901" name="Immagine 1">
          <a:hlinkClick xmlns:r="http://schemas.openxmlformats.org/officeDocument/2006/relationships" r:id="rId1"/>
        </xdr:cNvPr>
        <xdr:cNvPicPr>
          <a:picLocks noChangeAspect="1"/>
        </xdr:cNvPicPr>
      </xdr:nvPicPr>
      <xdr:blipFill>
        <a:blip r:embed="rId2">
          <a:extLst>
            <a:ext uri="{28A0092B-C50C-407E-A947-70E740481C1C}">
              <a14:useLocalDpi xmlns:a14="http://schemas.microsoft.com/office/drawing/2010/main" val="0"/>
            </a:ext>
          </a:extLst>
        </a:blip>
        <a:srcRect/>
        <a:stretch>
          <a:fillRect/>
        </a:stretch>
      </xdr:blipFill>
      <xdr:spPr>
        <a:xfrm>
          <a:off x="9134475" y="219075"/>
          <a:ext cx="60960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r="http://schemas.openxmlformats.org/officeDocument/2006/relationships" xmlns:a="http://schemas.openxmlformats.org/drawingml/2006/main">
  <xdr:twoCellAnchor editAs="oneCell">
    <xdr:from>
      <xdr:col>11</xdr:col>
      <xdr:colOff>57150</xdr:colOff>
      <xdr:row>4</xdr:row>
      <xdr:rowOff>85725</xdr:rowOff>
    </xdr:from>
    <xdr:to>
      <xdr:col>12</xdr:col>
      <xdr:colOff>314325</xdr:colOff>
      <xdr:row>8</xdr:row>
      <xdr:rowOff>0</xdr:rowOff>
    </xdr:to>
    <xdr:pic>
      <xdr:nvPicPr>
        <xdr:cNvPr id="83044" name="Immagine 1">
          <a:hlinkClick xmlns:r="http://schemas.openxmlformats.org/officeDocument/2006/relationships" r:id="rId1"/>
        </xdr:cNvPr>
        <xdr:cNvPicPr>
          <a:picLocks noChangeAspect="1"/>
        </xdr:cNvPicPr>
      </xdr:nvPicPr>
      <xdr:blipFill>
        <a:blip r:embed="rId2">
          <a:extLst>
            <a:ext uri="{28A0092B-C50C-407E-A947-70E740481C1C}">
              <a14:useLocalDpi xmlns:a14="http://schemas.microsoft.com/office/drawing/2010/main" val="0"/>
            </a:ext>
          </a:extLst>
        </a:blip>
        <a:srcRect/>
        <a:stretch>
          <a:fillRect/>
        </a:stretch>
      </xdr:blipFill>
      <xdr:spPr>
        <a:xfrm>
          <a:off x="6629400" y="847725"/>
          <a:ext cx="60960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r="http://schemas.openxmlformats.org/officeDocument/2006/relationships" xmlns:a="http://schemas.openxmlformats.org/drawingml/2006/main">
  <xdr:twoCellAnchor editAs="oneCell">
    <xdr:from>
      <xdr:col>15</xdr:col>
      <xdr:colOff>323850</xdr:colOff>
      <xdr:row>3</xdr:row>
      <xdr:rowOff>57150</xdr:rowOff>
    </xdr:from>
    <xdr:to>
      <xdr:col>15</xdr:col>
      <xdr:colOff>933450</xdr:colOff>
      <xdr:row>7</xdr:row>
      <xdr:rowOff>19050</xdr:rowOff>
    </xdr:to>
    <xdr:pic>
      <xdr:nvPicPr>
        <xdr:cNvPr id="45263" name="Immagine 1">
          <a:hlinkClick xmlns:r="http://schemas.openxmlformats.org/officeDocument/2006/relationships" r:id="rId1"/>
        </xdr:cNvPr>
        <xdr:cNvPicPr>
          <a:picLocks noChangeAspect="1"/>
        </xdr:cNvPicPr>
      </xdr:nvPicPr>
      <xdr:blipFill>
        <a:blip r:embed="rId2">
          <a:extLst>
            <a:ext uri="{28A0092B-C50C-407E-A947-70E740481C1C}">
              <a14:useLocalDpi xmlns:a14="http://schemas.microsoft.com/office/drawing/2010/main" val="0"/>
            </a:ext>
          </a:extLst>
        </a:blip>
        <a:srcRect/>
        <a:stretch>
          <a:fillRect/>
        </a:stretch>
      </xdr:blipFill>
      <xdr:spPr>
        <a:xfrm>
          <a:off x="8010525" y="485775"/>
          <a:ext cx="60960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r="http://schemas.openxmlformats.org/officeDocument/2006/relationships" xmlns:a="http://schemas.openxmlformats.org/drawingml/2006/main">
  <xdr:twoCellAnchor editAs="oneCell">
    <xdr:from>
      <xdr:col>18</xdr:col>
      <xdr:colOff>323850</xdr:colOff>
      <xdr:row>2</xdr:row>
      <xdr:rowOff>66675</xdr:rowOff>
    </xdr:from>
    <xdr:to>
      <xdr:col>18</xdr:col>
      <xdr:colOff>933450</xdr:colOff>
      <xdr:row>6</xdr:row>
      <xdr:rowOff>28575</xdr:rowOff>
    </xdr:to>
    <xdr:pic>
      <xdr:nvPicPr>
        <xdr:cNvPr id="73908" name="Immagine 1">
          <a:hlinkClick xmlns:r="http://schemas.openxmlformats.org/officeDocument/2006/relationships" r:id="rId1"/>
        </xdr:cNvPr>
        <xdr:cNvPicPr>
          <a:picLocks noChangeAspect="1"/>
        </xdr:cNvPicPr>
      </xdr:nvPicPr>
      <xdr:blipFill>
        <a:blip r:embed="rId2">
          <a:extLst>
            <a:ext uri="{28A0092B-C50C-407E-A947-70E740481C1C}">
              <a14:useLocalDpi xmlns:a14="http://schemas.microsoft.com/office/drawing/2010/main" val="0"/>
            </a:ext>
          </a:extLst>
        </a:blip>
        <a:srcRect/>
        <a:stretch>
          <a:fillRect/>
        </a:stretch>
      </xdr:blipFill>
      <xdr:spPr>
        <a:xfrm>
          <a:off x="10696575" y="390525"/>
          <a:ext cx="60960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r="http://schemas.openxmlformats.org/officeDocument/2006/relationships" xmlns:a="http://schemas.openxmlformats.org/drawingml/2006/main">
  <xdr:twoCellAnchor editAs="oneCell">
    <xdr:from>
      <xdr:col>16</xdr:col>
      <xdr:colOff>314325</xdr:colOff>
      <xdr:row>1</xdr:row>
      <xdr:rowOff>57150</xdr:rowOff>
    </xdr:from>
    <xdr:to>
      <xdr:col>16</xdr:col>
      <xdr:colOff>923925</xdr:colOff>
      <xdr:row>5</xdr:row>
      <xdr:rowOff>19050</xdr:rowOff>
    </xdr:to>
    <xdr:pic>
      <xdr:nvPicPr>
        <xdr:cNvPr id="43191" name="Immagine 1">
          <a:hlinkClick xmlns:r="http://schemas.openxmlformats.org/officeDocument/2006/relationships" r:id="rId1"/>
        </xdr:cNvPr>
        <xdr:cNvPicPr>
          <a:picLocks noChangeAspect="1"/>
        </xdr:cNvPicPr>
      </xdr:nvPicPr>
      <xdr:blipFill>
        <a:blip r:embed="rId2">
          <a:extLst>
            <a:ext uri="{28A0092B-C50C-407E-A947-70E740481C1C}">
              <a14:useLocalDpi xmlns:a14="http://schemas.microsoft.com/office/drawing/2010/main" val="0"/>
            </a:ext>
          </a:extLst>
        </a:blip>
        <a:srcRect/>
        <a:stretch>
          <a:fillRect/>
        </a:stretch>
      </xdr:blipFill>
      <xdr:spPr>
        <a:xfrm>
          <a:off x="8191500" y="247650"/>
          <a:ext cx="60960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r="http://schemas.openxmlformats.org/officeDocument/2006/relationships" xmlns:a="http://schemas.openxmlformats.org/drawingml/2006/main">
  <xdr:twoCellAnchor editAs="oneCell">
    <xdr:from>
      <xdr:col>16</xdr:col>
      <xdr:colOff>314325</xdr:colOff>
      <xdr:row>1</xdr:row>
      <xdr:rowOff>66675</xdr:rowOff>
    </xdr:from>
    <xdr:to>
      <xdr:col>16</xdr:col>
      <xdr:colOff>923925</xdr:colOff>
      <xdr:row>5</xdr:row>
      <xdr:rowOff>28575</xdr:rowOff>
    </xdr:to>
    <xdr:pic>
      <xdr:nvPicPr>
        <xdr:cNvPr id="15079" name="Immagine 1">
          <a:hlinkClick xmlns:r="http://schemas.openxmlformats.org/officeDocument/2006/relationships" r:id="rId1"/>
        </xdr:cNvPr>
        <xdr:cNvPicPr>
          <a:picLocks noChangeAspect="1"/>
        </xdr:cNvPicPr>
      </xdr:nvPicPr>
      <xdr:blipFill>
        <a:blip r:embed="rId2">
          <a:extLst>
            <a:ext uri="{28A0092B-C50C-407E-A947-70E740481C1C}">
              <a14:useLocalDpi xmlns:a14="http://schemas.microsoft.com/office/drawing/2010/main" val="0"/>
            </a:ext>
          </a:extLst>
        </a:blip>
        <a:srcRect/>
        <a:stretch>
          <a:fillRect/>
        </a:stretch>
      </xdr:blipFill>
      <xdr:spPr>
        <a:xfrm>
          <a:off x="8191500" y="257175"/>
          <a:ext cx="60960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10.xml"/><Relationship Id="rId1" Type="http://schemas.openxmlformats.org/officeDocument/2006/relationships/comments" Target="../comments5.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11.xml"/><Relationship Id="rId1" Type="http://schemas.openxmlformats.org/officeDocument/2006/relationships/comments" Target="../comments6.xml"/></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comments" Target="../comments7.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comments" Target="../comments1.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6.xml"/><Relationship Id="rId1" Type="http://schemas.openxmlformats.org/officeDocument/2006/relationships/comments" Target="../comments2.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8.xml"/><Relationship Id="rId1" Type="http://schemas.openxmlformats.org/officeDocument/2006/relationships/comments" Target="../comments3.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9.xml"/><Relationship Id="rId1"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66"/>
    <pageSetUpPr fitToPage="1"/>
  </sheetPr>
  <dimension ref="A1:AZ75"/>
  <sheetViews>
    <sheetView showGridLines="0" tabSelected="1" workbookViewId="0">
      <selection activeCell="A1" sqref="A1"/>
    </sheetView>
  </sheetViews>
  <sheetFormatPr defaultColWidth="0" defaultRowHeight="12.75" zeroHeight="1"/>
  <cols>
    <col min="1" max="1" width="3.28571428571429" style="1032" customWidth="1"/>
    <col min="2" max="3" width="3.71428571428571" style="1032" customWidth="1"/>
    <col min="4" max="6" width="3.28571428571429" style="1032" customWidth="1"/>
    <col min="7" max="7" width="3.71428571428571" style="1032" customWidth="1"/>
    <col min="8" max="8" width="5.71428571428571" style="1032" customWidth="1"/>
    <col min="9" max="10" width="3.71428571428571" style="1032" customWidth="1"/>
    <col min="11" max="11" width="4.71428571428571" style="1032" customWidth="1"/>
    <col min="12" max="13" width="3.71428571428571" style="1032" customWidth="1"/>
    <col min="14" max="17" width="3.28571428571429" style="1032" customWidth="1"/>
    <col min="18" max="18" width="5.71428571428571" style="1032" customWidth="1"/>
    <col min="19" max="20" width="3.71428571428571" style="1032" customWidth="1"/>
    <col min="21" max="22" width="4.71428571428571" style="1032" customWidth="1"/>
    <col min="23" max="23" width="3.71428571428571" style="1032" customWidth="1"/>
    <col min="24" max="27" width="3.28571428571429" style="1032" customWidth="1"/>
    <col min="28" max="28" width="5.71428571428571" style="1032" customWidth="1"/>
    <col min="29" max="29" width="3.71428571428571" style="1032" customWidth="1"/>
    <col min="30" max="30" width="4.71428571428571" style="1032" customWidth="1"/>
    <col min="31" max="32" width="2.71428571428571" style="1032" customWidth="1"/>
    <col min="33" max="33" width="4.71428571428571" style="1032" customWidth="1"/>
    <col min="34" max="34" width="3.71428571428571" style="1032" customWidth="1"/>
    <col min="35" max="38" width="3.28571428571429" style="1032" customWidth="1"/>
    <col min="39" max="39" width="5.71428571428571" style="1032" customWidth="1"/>
    <col min="40" max="40" width="3.71428571428571" style="1032" customWidth="1"/>
    <col min="41" max="43" width="4.71428571428571" style="1032" customWidth="1"/>
    <col min="44" max="46" width="3.71428571428571" style="1032" customWidth="1"/>
    <col min="47" max="48" width="2.28571428571429" style="1032" customWidth="1"/>
    <col min="49" max="49" width="3.71428571428571" style="1032" customWidth="1"/>
    <col min="50" max="50" width="3.28571428571429" style="1032" customWidth="1"/>
    <col min="51" max="51" width="4.28571428571429" style="1032" customWidth="1"/>
    <col min="52" max="52" width="4.71428571428571" style="1032" customWidth="1"/>
    <col min="53" max="53" width="3.28571428571429" style="1032" customWidth="1"/>
    <col min="54" max="62" width="0" style="1032" hidden="1" customWidth="1"/>
    <col min="63" max="16384" width="6.71428571428571" style="1032" hidden="1"/>
  </cols>
  <sheetData>
    <row r="1" customHeight="1" spans="1:21">
      <c r="A1" s="1032" t="s">
        <v>0</v>
      </c>
      <c r="B1" s="1033" t="s">
        <v>1</v>
      </c>
      <c r="C1" s="1033"/>
      <c r="D1" s="1033"/>
      <c r="E1" s="1033"/>
      <c r="F1" s="1033"/>
      <c r="G1" s="1033"/>
      <c r="H1" s="1033"/>
      <c r="I1" s="1033"/>
      <c r="J1" s="1033"/>
      <c r="K1" s="1033"/>
      <c r="L1" s="1033"/>
      <c r="M1" s="1033"/>
      <c r="N1" s="1033"/>
      <c r="O1" s="1033"/>
      <c r="P1" s="1033"/>
      <c r="Q1" s="1033"/>
      <c r="R1" s="1033"/>
      <c r="S1" s="1033"/>
      <c r="T1" s="1033"/>
      <c r="U1" s="1033"/>
    </row>
    <row r="2" ht="15" customHeight="1" spans="2:21">
      <c r="B2" s="1033"/>
      <c r="C2" s="1033"/>
      <c r="D2" s="1033"/>
      <c r="E2" s="1033"/>
      <c r="F2" s="1033"/>
      <c r="G2" s="1033"/>
      <c r="H2" s="1033"/>
      <c r="I2" s="1033"/>
      <c r="J2" s="1033"/>
      <c r="K2" s="1033"/>
      <c r="L2" s="1033"/>
      <c r="M2" s="1033"/>
      <c r="N2" s="1033"/>
      <c r="O2" s="1033"/>
      <c r="P2" s="1033"/>
      <c r="Q2" s="1033"/>
      <c r="R2" s="1033"/>
      <c r="S2" s="1033"/>
      <c r="T2" s="1033"/>
      <c r="U2" s="1033"/>
    </row>
    <row r="3" customHeight="1" spans="2:38">
      <c r="B3" s="1033"/>
      <c r="C3" s="1033"/>
      <c r="D3" s="1033"/>
      <c r="E3" s="1033"/>
      <c r="F3" s="1033"/>
      <c r="G3" s="1033"/>
      <c r="H3" s="1033"/>
      <c r="I3" s="1033"/>
      <c r="J3" s="1033"/>
      <c r="K3" s="1033"/>
      <c r="L3" s="1033"/>
      <c r="M3" s="1033"/>
      <c r="N3" s="1033"/>
      <c r="O3" s="1033"/>
      <c r="P3" s="1033"/>
      <c r="Q3" s="1033"/>
      <c r="R3" s="1033"/>
      <c r="S3" s="1033"/>
      <c r="T3" s="1033"/>
      <c r="U3" s="1033"/>
      <c r="W3" s="1106" t="s">
        <v>2</v>
      </c>
      <c r="X3" s="1107" t="s">
        <v>3</v>
      </c>
      <c r="Y3" s="1107"/>
      <c r="Z3" s="1107"/>
      <c r="AA3" s="1107"/>
      <c r="AB3" s="1107"/>
      <c r="AC3" s="1132"/>
      <c r="AD3" s="1133"/>
      <c r="AK3" s="1157"/>
      <c r="AL3" s="1157"/>
    </row>
    <row r="4" customHeight="1" spans="2:38">
      <c r="B4" s="1033"/>
      <c r="C4" s="1033"/>
      <c r="D4" s="1033"/>
      <c r="E4" s="1033"/>
      <c r="F4" s="1033"/>
      <c r="G4" s="1033"/>
      <c r="H4" s="1033"/>
      <c r="I4" s="1033"/>
      <c r="J4" s="1033"/>
      <c r="K4" s="1033"/>
      <c r="L4" s="1033"/>
      <c r="M4" s="1033"/>
      <c r="N4" s="1033"/>
      <c r="O4" s="1033"/>
      <c r="P4" s="1033"/>
      <c r="Q4" s="1033"/>
      <c r="R4" s="1033"/>
      <c r="S4" s="1033"/>
      <c r="T4" s="1033"/>
      <c r="U4" s="1033"/>
      <c r="V4" s="1108"/>
      <c r="W4" s="1109"/>
      <c r="X4" s="1110"/>
      <c r="Y4" s="1110"/>
      <c r="Z4" s="1110"/>
      <c r="AA4" s="1110"/>
      <c r="AB4" s="1110"/>
      <c r="AC4" s="149"/>
      <c r="AD4" s="1133"/>
      <c r="AK4" s="1157"/>
      <c r="AL4" s="1157"/>
    </row>
    <row r="5" customHeight="1" spans="2:38">
      <c r="B5" s="1033"/>
      <c r="C5" s="1033"/>
      <c r="D5" s="1033"/>
      <c r="E5" s="1033"/>
      <c r="F5" s="1033"/>
      <c r="G5" s="1033"/>
      <c r="H5" s="1033"/>
      <c r="I5" s="1033"/>
      <c r="J5" s="1033"/>
      <c r="K5" s="1033"/>
      <c r="L5" s="1033"/>
      <c r="M5" s="1033"/>
      <c r="N5" s="1033"/>
      <c r="O5" s="1033"/>
      <c r="P5" s="1033"/>
      <c r="Q5" s="1033"/>
      <c r="R5" s="1033"/>
      <c r="S5" s="1033"/>
      <c r="T5" s="1033"/>
      <c r="U5" s="1033"/>
      <c r="V5" s="1108"/>
      <c r="W5" s="1111"/>
      <c r="X5" s="1112"/>
      <c r="Y5" s="1112"/>
      <c r="Z5" s="1112"/>
      <c r="AA5" s="1112"/>
      <c r="AB5" s="1112"/>
      <c r="AC5" s="158"/>
      <c r="AD5" s="1133"/>
      <c r="AK5" s="1157"/>
      <c r="AL5" s="1157"/>
    </row>
    <row r="6" customHeight="1" spans="24:35">
      <c r="X6" s="1113"/>
      <c r="Y6" s="1113"/>
      <c r="Z6" s="1113"/>
      <c r="AA6" s="1134"/>
      <c r="AB6" s="1113"/>
      <c r="AC6" s="1113"/>
      <c r="AD6" s="1135"/>
      <c r="AE6" s="1135"/>
      <c r="AF6" s="1136"/>
      <c r="AG6" s="1135"/>
      <c r="AH6" s="1135"/>
      <c r="AI6" s="1135"/>
    </row>
    <row r="7" customHeight="1" spans="7:50">
      <c r="G7" s="1034"/>
      <c r="H7" s="1035"/>
      <c r="I7" s="1035"/>
      <c r="J7" s="1035"/>
      <c r="K7" s="1035"/>
      <c r="L7" s="1035"/>
      <c r="M7" s="1035"/>
      <c r="N7" s="1035"/>
      <c r="O7" s="1035"/>
      <c r="P7" s="1035"/>
      <c r="Q7" s="1114"/>
      <c r="R7" s="1035"/>
      <c r="S7" s="1035"/>
      <c r="T7" s="1035"/>
      <c r="U7" s="1035"/>
      <c r="V7" s="1035"/>
      <c r="W7" s="1035"/>
      <c r="X7" s="1115"/>
      <c r="Y7" s="1115"/>
      <c r="Z7" s="1115"/>
      <c r="AA7" s="1137"/>
      <c r="AB7" s="1115"/>
      <c r="AC7" s="1115"/>
      <c r="AD7" s="1115"/>
      <c r="AE7" s="1115"/>
      <c r="AF7" s="1035"/>
      <c r="AG7" s="1035"/>
      <c r="AH7" s="1035"/>
      <c r="AI7" s="1035"/>
      <c r="AJ7" s="1035"/>
      <c r="AK7" s="1035"/>
      <c r="AL7" s="1114"/>
      <c r="AM7" s="1035"/>
      <c r="AN7" s="1035"/>
      <c r="AO7" s="1035"/>
      <c r="AP7" s="1035"/>
      <c r="AQ7" s="1035"/>
      <c r="AR7" s="1035"/>
      <c r="AS7" s="1035"/>
      <c r="AT7" s="1035"/>
      <c r="AU7" s="1035"/>
      <c r="AV7" s="1179"/>
      <c r="AW7" s="1182"/>
      <c r="AX7" s="1103"/>
    </row>
    <row r="8" customHeight="1" spans="2:52">
      <c r="B8" s="1036" t="s">
        <v>2</v>
      </c>
      <c r="C8" s="1037" t="s">
        <v>4</v>
      </c>
      <c r="D8" s="1037"/>
      <c r="E8" s="1037"/>
      <c r="F8" s="1037"/>
      <c r="G8" s="1037"/>
      <c r="H8" s="1037"/>
      <c r="I8" s="1037"/>
      <c r="J8" s="1092"/>
      <c r="L8" s="1036" t="s">
        <v>2</v>
      </c>
      <c r="M8" s="1037" t="s">
        <v>5</v>
      </c>
      <c r="N8" s="1037"/>
      <c r="O8" s="1037"/>
      <c r="P8" s="1037"/>
      <c r="Q8" s="1037"/>
      <c r="R8" s="1037"/>
      <c r="S8" s="1037"/>
      <c r="T8" s="1092"/>
      <c r="V8" s="1036" t="s">
        <v>2</v>
      </c>
      <c r="W8" s="1116" t="s">
        <v>6</v>
      </c>
      <c r="X8" s="1116"/>
      <c r="Y8" s="1116"/>
      <c r="Z8" s="1116"/>
      <c r="AA8" s="1116"/>
      <c r="AB8" s="1116"/>
      <c r="AC8" s="1116"/>
      <c r="AD8" s="1138"/>
      <c r="AG8" s="1158" t="s">
        <v>2</v>
      </c>
      <c r="AH8" s="1159" t="s">
        <v>7</v>
      </c>
      <c r="AI8" s="1159"/>
      <c r="AJ8" s="1159"/>
      <c r="AK8" s="1159"/>
      <c r="AL8" s="1159"/>
      <c r="AM8" s="1159"/>
      <c r="AN8" s="1159"/>
      <c r="AO8" s="1180"/>
      <c r="AQ8" s="1036" t="s">
        <v>2</v>
      </c>
      <c r="AR8" s="1116" t="s">
        <v>8</v>
      </c>
      <c r="AS8" s="1116"/>
      <c r="AT8" s="1116"/>
      <c r="AU8" s="1116"/>
      <c r="AV8" s="1116"/>
      <c r="AW8" s="1116"/>
      <c r="AX8" s="1116"/>
      <c r="AY8" s="1116"/>
      <c r="AZ8" s="1138"/>
    </row>
    <row r="9" customHeight="1" spans="2:52">
      <c r="B9" s="1038"/>
      <c r="C9" s="1039"/>
      <c r="D9" s="1039"/>
      <c r="E9" s="1039"/>
      <c r="F9" s="1039"/>
      <c r="G9" s="1039"/>
      <c r="H9" s="1039"/>
      <c r="I9" s="1039"/>
      <c r="J9" s="1093"/>
      <c r="L9" s="1038"/>
      <c r="M9" s="1039"/>
      <c r="N9" s="1039"/>
      <c r="O9" s="1039"/>
      <c r="P9" s="1039"/>
      <c r="Q9" s="1039"/>
      <c r="R9" s="1039"/>
      <c r="S9" s="1039"/>
      <c r="T9" s="1093"/>
      <c r="V9" s="1038"/>
      <c r="W9" s="1117"/>
      <c r="X9" s="1117"/>
      <c r="Y9" s="1117"/>
      <c r="Z9" s="1117"/>
      <c r="AA9" s="1117"/>
      <c r="AB9" s="1117"/>
      <c r="AC9" s="1117"/>
      <c r="AD9" s="1139"/>
      <c r="AG9" s="1160"/>
      <c r="AH9" s="1161"/>
      <c r="AI9" s="1161"/>
      <c r="AJ9" s="1161"/>
      <c r="AK9" s="1161"/>
      <c r="AL9" s="1161"/>
      <c r="AM9" s="1161"/>
      <c r="AN9" s="1161"/>
      <c r="AO9" s="1181"/>
      <c r="AQ9" s="1038"/>
      <c r="AR9" s="1117"/>
      <c r="AS9" s="1117"/>
      <c r="AT9" s="1117"/>
      <c r="AU9" s="1117"/>
      <c r="AV9" s="1117"/>
      <c r="AW9" s="1117"/>
      <c r="AX9" s="1117"/>
      <c r="AY9" s="1117"/>
      <c r="AZ9" s="1139"/>
    </row>
    <row r="10" customHeight="1" spans="2:52">
      <c r="B10" s="1040"/>
      <c r="C10" s="1041"/>
      <c r="D10" s="1041"/>
      <c r="E10" s="1041"/>
      <c r="F10" s="1041"/>
      <c r="G10" s="1041"/>
      <c r="H10" s="1041"/>
      <c r="I10" s="1041"/>
      <c r="J10" s="1094"/>
      <c r="L10" s="1040"/>
      <c r="M10" s="1041"/>
      <c r="N10" s="1041"/>
      <c r="O10" s="1041"/>
      <c r="P10" s="1041"/>
      <c r="Q10" s="1041"/>
      <c r="R10" s="1041"/>
      <c r="S10" s="1041"/>
      <c r="T10" s="1094"/>
      <c r="V10" s="1040"/>
      <c r="W10" s="1041"/>
      <c r="X10" s="1041"/>
      <c r="Y10" s="1041"/>
      <c r="Z10" s="1041"/>
      <c r="AA10" s="1041"/>
      <c r="AB10" s="1041"/>
      <c r="AC10" s="1041"/>
      <c r="AD10" s="1094"/>
      <c r="AG10" s="1040"/>
      <c r="AH10" s="1041"/>
      <c r="AI10" s="1041"/>
      <c r="AJ10" s="1041"/>
      <c r="AK10" s="1041"/>
      <c r="AL10" s="1041"/>
      <c r="AM10" s="1041"/>
      <c r="AN10" s="1041"/>
      <c r="AO10" s="1094"/>
      <c r="AQ10" s="1040"/>
      <c r="AR10" s="1041"/>
      <c r="AS10" s="1041"/>
      <c r="AT10" s="1041"/>
      <c r="AU10" s="1041"/>
      <c r="AV10" s="1041"/>
      <c r="AW10" s="1041"/>
      <c r="AX10" s="1041"/>
      <c r="AY10" s="1041"/>
      <c r="AZ10" s="1094"/>
    </row>
    <row r="11" customHeight="1" spans="2:52">
      <c r="B11" s="1042"/>
      <c r="C11" s="1043" t="s">
        <v>9</v>
      </c>
      <c r="D11" s="1044"/>
      <c r="E11" s="1044"/>
      <c r="F11" s="1044"/>
      <c r="G11" s="1044"/>
      <c r="H11" s="1045"/>
      <c r="I11" s="1071"/>
      <c r="J11" s="1095"/>
      <c r="K11" s="1096"/>
      <c r="L11" s="1042"/>
      <c r="M11" s="1043" t="s">
        <v>9</v>
      </c>
      <c r="N11" s="1044"/>
      <c r="O11" s="1044"/>
      <c r="P11" s="1044"/>
      <c r="Q11" s="1044"/>
      <c r="R11" s="1044"/>
      <c r="S11" s="1118"/>
      <c r="T11" s="1095"/>
      <c r="U11" s="1096"/>
      <c r="V11" s="1042"/>
      <c r="W11" s="1043" t="s">
        <v>9</v>
      </c>
      <c r="X11" s="1044"/>
      <c r="Y11" s="1044"/>
      <c r="Z11" s="1044"/>
      <c r="AA11" s="1044"/>
      <c r="AB11" s="1045"/>
      <c r="AC11" s="1071"/>
      <c r="AD11" s="1095"/>
      <c r="AG11" s="1042"/>
      <c r="AH11" s="1043" t="s">
        <v>9</v>
      </c>
      <c r="AI11" s="1044"/>
      <c r="AJ11" s="1044"/>
      <c r="AK11" s="1044"/>
      <c r="AL11" s="1044"/>
      <c r="AM11" s="1044"/>
      <c r="AN11" s="1118"/>
      <c r="AO11" s="1095"/>
      <c r="AQ11" s="1042"/>
      <c r="AR11" s="1043" t="s">
        <v>10</v>
      </c>
      <c r="AS11" s="1044"/>
      <c r="AT11" s="1044"/>
      <c r="AU11" s="1044"/>
      <c r="AV11" s="1044"/>
      <c r="AW11" s="1044"/>
      <c r="AX11" s="1044"/>
      <c r="AY11" s="1118"/>
      <c r="AZ11" s="1095"/>
    </row>
    <row r="12" customHeight="1" spans="2:52">
      <c r="B12" s="1042"/>
      <c r="C12" s="1046"/>
      <c r="D12" s="1047"/>
      <c r="E12" s="1047"/>
      <c r="F12" s="1047"/>
      <c r="G12" s="1047"/>
      <c r="H12" s="1048"/>
      <c r="I12" s="1072"/>
      <c r="J12" s="1095"/>
      <c r="K12" s="1096"/>
      <c r="L12" s="1042"/>
      <c r="M12" s="1046"/>
      <c r="N12" s="1047"/>
      <c r="O12" s="1047"/>
      <c r="P12" s="1047"/>
      <c r="Q12" s="1047"/>
      <c r="R12" s="1047"/>
      <c r="S12" s="1119"/>
      <c r="T12" s="1095"/>
      <c r="U12" s="1096"/>
      <c r="V12" s="1042"/>
      <c r="W12" s="1046"/>
      <c r="X12" s="1047"/>
      <c r="Y12" s="1047"/>
      <c r="Z12" s="1047"/>
      <c r="AA12" s="1047"/>
      <c r="AB12" s="1048"/>
      <c r="AC12" s="1072"/>
      <c r="AD12" s="1095"/>
      <c r="AG12" s="1042"/>
      <c r="AH12" s="1046"/>
      <c r="AI12" s="1047"/>
      <c r="AJ12" s="1047"/>
      <c r="AK12" s="1047"/>
      <c r="AL12" s="1047"/>
      <c r="AM12" s="1047"/>
      <c r="AN12" s="1119"/>
      <c r="AO12" s="1095"/>
      <c r="AQ12" s="1042"/>
      <c r="AR12" s="1046"/>
      <c r="AS12" s="1047"/>
      <c r="AT12" s="1047"/>
      <c r="AU12" s="1047"/>
      <c r="AV12" s="1047"/>
      <c r="AW12" s="1047"/>
      <c r="AX12" s="1047"/>
      <c r="AY12" s="1119"/>
      <c r="AZ12" s="1095"/>
    </row>
    <row r="13" customHeight="1" spans="2:52">
      <c r="B13" s="1042"/>
      <c r="C13" s="1049"/>
      <c r="D13" s="1050"/>
      <c r="E13" s="1050"/>
      <c r="F13" s="1050"/>
      <c r="G13" s="1050"/>
      <c r="H13" s="1051"/>
      <c r="I13" s="1073"/>
      <c r="J13" s="1095"/>
      <c r="L13" s="1042"/>
      <c r="M13" s="1049"/>
      <c r="N13" s="1050"/>
      <c r="O13" s="1050"/>
      <c r="P13" s="1050"/>
      <c r="Q13" s="1050"/>
      <c r="R13" s="1050"/>
      <c r="S13" s="1120"/>
      <c r="T13" s="1095"/>
      <c r="V13" s="1042"/>
      <c r="W13" s="1049"/>
      <c r="X13" s="1050"/>
      <c r="Y13" s="1050"/>
      <c r="Z13" s="1050"/>
      <c r="AA13" s="1050"/>
      <c r="AB13" s="1051"/>
      <c r="AC13" s="1073"/>
      <c r="AD13" s="1095"/>
      <c r="AG13" s="1042"/>
      <c r="AH13" s="1049"/>
      <c r="AI13" s="1050"/>
      <c r="AJ13" s="1050"/>
      <c r="AK13" s="1050"/>
      <c r="AL13" s="1050"/>
      <c r="AM13" s="1050"/>
      <c r="AN13" s="1120"/>
      <c r="AO13" s="1095"/>
      <c r="AQ13" s="1042"/>
      <c r="AR13" s="1049"/>
      <c r="AS13" s="1050"/>
      <c r="AT13" s="1050"/>
      <c r="AU13" s="1050"/>
      <c r="AV13" s="1050"/>
      <c r="AW13" s="1050"/>
      <c r="AX13" s="1050"/>
      <c r="AY13" s="1120"/>
      <c r="AZ13" s="1095"/>
    </row>
    <row r="14" customHeight="1" spans="2:52">
      <c r="B14" s="1042"/>
      <c r="C14" s="1052"/>
      <c r="D14" s="1052"/>
      <c r="E14" s="1052"/>
      <c r="F14" s="1052"/>
      <c r="G14" s="1052"/>
      <c r="H14" s="1052"/>
      <c r="I14" s="1052"/>
      <c r="J14" s="1095"/>
      <c r="L14" s="1042"/>
      <c r="M14" s="1052"/>
      <c r="N14" s="1052"/>
      <c r="O14" s="1052"/>
      <c r="P14" s="1052"/>
      <c r="Q14" s="1052"/>
      <c r="R14" s="1052"/>
      <c r="S14" s="1052"/>
      <c r="T14" s="1095"/>
      <c r="V14" s="1042"/>
      <c r="W14" s="1052"/>
      <c r="X14" s="1052"/>
      <c r="Y14" s="1052"/>
      <c r="Z14" s="1052"/>
      <c r="AA14" s="1052"/>
      <c r="AB14" s="1052"/>
      <c r="AC14" s="1052"/>
      <c r="AD14" s="1095"/>
      <c r="AG14" s="1042"/>
      <c r="AH14" s="1052"/>
      <c r="AI14" s="1052"/>
      <c r="AJ14" s="1052"/>
      <c r="AK14" s="1052"/>
      <c r="AL14" s="1052"/>
      <c r="AM14" s="1052"/>
      <c r="AN14" s="1052"/>
      <c r="AO14" s="1095"/>
      <c r="AQ14" s="1042"/>
      <c r="AR14" s="1052"/>
      <c r="AS14" s="1052"/>
      <c r="AT14" s="1052"/>
      <c r="AU14" s="1052"/>
      <c r="AV14" s="1052"/>
      <c r="AW14" s="1052"/>
      <c r="AX14" s="1052"/>
      <c r="AY14" s="1052"/>
      <c r="AZ14" s="1095"/>
    </row>
    <row r="15" customHeight="1" spans="2:52">
      <c r="B15" s="1042"/>
      <c r="C15" s="1053" t="s">
        <v>11</v>
      </c>
      <c r="D15" s="1054"/>
      <c r="E15" s="1054"/>
      <c r="F15" s="1054"/>
      <c r="G15" s="1054"/>
      <c r="H15" s="1054"/>
      <c r="I15" s="1097"/>
      <c r="J15" s="1095"/>
      <c r="L15" s="1042"/>
      <c r="M15" s="1053" t="s">
        <v>11</v>
      </c>
      <c r="N15" s="1054"/>
      <c r="O15" s="1054"/>
      <c r="P15" s="1054"/>
      <c r="Q15" s="1054"/>
      <c r="R15" s="1054"/>
      <c r="S15" s="1097"/>
      <c r="T15" s="1095"/>
      <c r="V15" s="1042"/>
      <c r="W15" s="1053" t="s">
        <v>11</v>
      </c>
      <c r="X15" s="1054"/>
      <c r="Y15" s="1054"/>
      <c r="Z15" s="1054"/>
      <c r="AA15" s="1054"/>
      <c r="AB15" s="1054"/>
      <c r="AC15" s="1097"/>
      <c r="AD15" s="1095"/>
      <c r="AG15" s="1042"/>
      <c r="AH15" s="1053" t="s">
        <v>11</v>
      </c>
      <c r="AI15" s="1054"/>
      <c r="AJ15" s="1054"/>
      <c r="AK15" s="1054"/>
      <c r="AL15" s="1054"/>
      <c r="AM15" s="1054"/>
      <c r="AN15" s="1097"/>
      <c r="AO15" s="1095"/>
      <c r="AQ15" s="1042"/>
      <c r="AR15" s="1043" t="s">
        <v>12</v>
      </c>
      <c r="AS15" s="1044"/>
      <c r="AT15" s="1044"/>
      <c r="AU15" s="1044"/>
      <c r="AV15" s="1044"/>
      <c r="AW15" s="1044"/>
      <c r="AX15" s="1045"/>
      <c r="AY15" s="1071"/>
      <c r="AZ15" s="1095"/>
    </row>
    <row r="16" customHeight="1" spans="2:52">
      <c r="B16" s="1042"/>
      <c r="C16" s="1055"/>
      <c r="D16" s="1056"/>
      <c r="E16" s="1056"/>
      <c r="F16" s="1056"/>
      <c r="G16" s="1056"/>
      <c r="H16" s="1056"/>
      <c r="I16" s="1098"/>
      <c r="J16" s="1095"/>
      <c r="L16" s="1042"/>
      <c r="M16" s="1055"/>
      <c r="N16" s="1056"/>
      <c r="O16" s="1056"/>
      <c r="P16" s="1056"/>
      <c r="Q16" s="1056"/>
      <c r="R16" s="1056"/>
      <c r="S16" s="1098"/>
      <c r="T16" s="1095"/>
      <c r="V16" s="1042"/>
      <c r="W16" s="1055"/>
      <c r="X16" s="1056"/>
      <c r="Y16" s="1056"/>
      <c r="Z16" s="1056"/>
      <c r="AA16" s="1056"/>
      <c r="AB16" s="1056"/>
      <c r="AC16" s="1098"/>
      <c r="AD16" s="1095"/>
      <c r="AG16" s="1042"/>
      <c r="AH16" s="1055"/>
      <c r="AI16" s="1056"/>
      <c r="AJ16" s="1056"/>
      <c r="AK16" s="1056"/>
      <c r="AL16" s="1056"/>
      <c r="AM16" s="1056"/>
      <c r="AN16" s="1098"/>
      <c r="AO16" s="1095"/>
      <c r="AQ16" s="1042"/>
      <c r="AR16" s="1046"/>
      <c r="AS16" s="1047"/>
      <c r="AT16" s="1047"/>
      <c r="AU16" s="1047"/>
      <c r="AV16" s="1047"/>
      <c r="AW16" s="1047"/>
      <c r="AX16" s="1048"/>
      <c r="AY16" s="1072"/>
      <c r="AZ16" s="1095"/>
    </row>
    <row r="17" customHeight="1" spans="2:52">
      <c r="B17" s="1042"/>
      <c r="C17" s="1057"/>
      <c r="D17" s="1058"/>
      <c r="E17" s="1058"/>
      <c r="F17" s="1058"/>
      <c r="G17" s="1058"/>
      <c r="H17" s="1058"/>
      <c r="I17" s="1099"/>
      <c r="J17" s="1095"/>
      <c r="L17" s="1042"/>
      <c r="M17" s="1057"/>
      <c r="N17" s="1058"/>
      <c r="O17" s="1058"/>
      <c r="P17" s="1058"/>
      <c r="Q17" s="1058"/>
      <c r="R17" s="1058"/>
      <c r="S17" s="1099"/>
      <c r="T17" s="1095"/>
      <c r="V17" s="1042"/>
      <c r="W17" s="1057"/>
      <c r="X17" s="1058"/>
      <c r="Y17" s="1058"/>
      <c r="Z17" s="1058"/>
      <c r="AA17" s="1058"/>
      <c r="AB17" s="1058"/>
      <c r="AC17" s="1099"/>
      <c r="AD17" s="1095"/>
      <c r="AG17" s="1042"/>
      <c r="AH17" s="1057"/>
      <c r="AI17" s="1058"/>
      <c r="AJ17" s="1058"/>
      <c r="AK17" s="1058"/>
      <c r="AL17" s="1058"/>
      <c r="AM17" s="1058"/>
      <c r="AN17" s="1099"/>
      <c r="AO17" s="1095"/>
      <c r="AQ17" s="1042"/>
      <c r="AR17" s="1049"/>
      <c r="AS17" s="1050"/>
      <c r="AT17" s="1050"/>
      <c r="AU17" s="1050"/>
      <c r="AV17" s="1050"/>
      <c r="AW17" s="1050"/>
      <c r="AX17" s="1051"/>
      <c r="AY17" s="1073"/>
      <c r="AZ17" s="1095"/>
    </row>
    <row r="18" customHeight="1" spans="2:52">
      <c r="B18" s="1042"/>
      <c r="C18" s="1052"/>
      <c r="D18" s="1052"/>
      <c r="E18" s="1052"/>
      <c r="F18" s="1052"/>
      <c r="G18" s="1059"/>
      <c r="H18" s="1060"/>
      <c r="I18" s="1052"/>
      <c r="J18" s="1095"/>
      <c r="L18" s="1042"/>
      <c r="M18" s="1052"/>
      <c r="N18" s="1052"/>
      <c r="O18" s="1052"/>
      <c r="P18" s="1052"/>
      <c r="Q18" s="1059"/>
      <c r="R18" s="1060"/>
      <c r="S18" s="1052"/>
      <c r="T18" s="1095"/>
      <c r="V18" s="1042"/>
      <c r="W18" s="1052"/>
      <c r="X18" s="1052"/>
      <c r="Y18" s="1052"/>
      <c r="Z18" s="1052"/>
      <c r="AA18" s="1059"/>
      <c r="AB18" s="1052"/>
      <c r="AC18" s="1052"/>
      <c r="AD18" s="1095"/>
      <c r="AG18" s="1042"/>
      <c r="AH18" s="1052"/>
      <c r="AI18" s="1052"/>
      <c r="AJ18" s="1052"/>
      <c r="AK18" s="1052"/>
      <c r="AL18" s="1059"/>
      <c r="AM18" s="1060"/>
      <c r="AN18" s="1052"/>
      <c r="AO18" s="1095"/>
      <c r="AQ18" s="1042"/>
      <c r="AR18" s="1052"/>
      <c r="AS18" s="1052"/>
      <c r="AT18" s="1052"/>
      <c r="AU18" s="1052"/>
      <c r="AV18" s="1052"/>
      <c r="AW18" s="1052"/>
      <c r="AX18" s="1052"/>
      <c r="AY18" s="1052"/>
      <c r="AZ18" s="1095"/>
    </row>
    <row r="19" customHeight="1" spans="2:52">
      <c r="B19" s="1042"/>
      <c r="C19" s="1052"/>
      <c r="D19" s="1061" t="s">
        <v>13</v>
      </c>
      <c r="E19" s="1062"/>
      <c r="F19" s="1062"/>
      <c r="G19" s="1062"/>
      <c r="H19" s="1063"/>
      <c r="I19" s="1052"/>
      <c r="J19" s="1095"/>
      <c r="L19" s="1042"/>
      <c r="M19" s="1052"/>
      <c r="N19" s="1061" t="s">
        <v>13</v>
      </c>
      <c r="O19" s="1062"/>
      <c r="P19" s="1062"/>
      <c r="Q19" s="1062"/>
      <c r="R19" s="1063"/>
      <c r="S19" s="1052"/>
      <c r="T19" s="1095"/>
      <c r="V19" s="1042"/>
      <c r="W19" s="1052"/>
      <c r="X19" s="1061" t="s">
        <v>13</v>
      </c>
      <c r="Y19" s="1062"/>
      <c r="Z19" s="1062"/>
      <c r="AA19" s="1062"/>
      <c r="AB19" s="1063"/>
      <c r="AC19" s="1052"/>
      <c r="AD19" s="1095"/>
      <c r="AG19" s="1042"/>
      <c r="AH19" s="1052"/>
      <c r="AI19" s="1061" t="s">
        <v>13</v>
      </c>
      <c r="AJ19" s="1062"/>
      <c r="AK19" s="1062"/>
      <c r="AL19" s="1062"/>
      <c r="AM19" s="1063"/>
      <c r="AN19" s="1052"/>
      <c r="AO19" s="1095"/>
      <c r="AQ19" s="1042"/>
      <c r="AR19" s="1052"/>
      <c r="AS19" s="1052"/>
      <c r="AT19" s="1052"/>
      <c r="AU19" s="1052"/>
      <c r="AV19" s="1052"/>
      <c r="AW19" s="1052"/>
      <c r="AX19" s="1052"/>
      <c r="AY19" s="1052"/>
      <c r="AZ19" s="1095"/>
    </row>
    <row r="20" customHeight="1" spans="2:52">
      <c r="B20" s="1042"/>
      <c r="C20" s="1052"/>
      <c r="D20" s="1064"/>
      <c r="E20" s="1065"/>
      <c r="F20" s="1065"/>
      <c r="G20" s="1065"/>
      <c r="H20" s="1066"/>
      <c r="I20" s="1052"/>
      <c r="J20" s="1095"/>
      <c r="L20" s="1042"/>
      <c r="M20" s="1052"/>
      <c r="N20" s="1064"/>
      <c r="O20" s="1065"/>
      <c r="P20" s="1065"/>
      <c r="Q20" s="1065"/>
      <c r="R20" s="1066"/>
      <c r="S20" s="1052"/>
      <c r="T20" s="1095"/>
      <c r="V20" s="1042"/>
      <c r="W20" s="1052"/>
      <c r="X20" s="1064"/>
      <c r="Y20" s="1065"/>
      <c r="Z20" s="1065"/>
      <c r="AA20" s="1065"/>
      <c r="AB20" s="1066"/>
      <c r="AC20" s="1052"/>
      <c r="AD20" s="1095"/>
      <c r="AG20" s="1042"/>
      <c r="AH20" s="1052"/>
      <c r="AI20" s="1064"/>
      <c r="AJ20" s="1065"/>
      <c r="AK20" s="1065"/>
      <c r="AL20" s="1065"/>
      <c r="AM20" s="1066"/>
      <c r="AN20" s="1052"/>
      <c r="AO20" s="1095"/>
      <c r="AQ20" s="1042"/>
      <c r="AR20" s="1052"/>
      <c r="AS20" s="1052"/>
      <c r="AT20" s="1052"/>
      <c r="AU20" s="1052"/>
      <c r="AV20" s="1052"/>
      <c r="AW20" s="1052"/>
      <c r="AX20" s="1052"/>
      <c r="AY20" s="1052"/>
      <c r="AZ20" s="1095"/>
    </row>
    <row r="21" customHeight="1" spans="2:52">
      <c r="B21" s="1042"/>
      <c r="C21" s="1052"/>
      <c r="D21" s="1067"/>
      <c r="E21" s="1068"/>
      <c r="F21" s="1068"/>
      <c r="G21" s="1068"/>
      <c r="H21" s="1069"/>
      <c r="I21" s="1052"/>
      <c r="J21" s="1095"/>
      <c r="L21" s="1042"/>
      <c r="M21" s="1052"/>
      <c r="N21" s="1067"/>
      <c r="O21" s="1068"/>
      <c r="P21" s="1068"/>
      <c r="Q21" s="1068"/>
      <c r="R21" s="1069"/>
      <c r="S21" s="1052"/>
      <c r="T21" s="1095"/>
      <c r="V21" s="1042"/>
      <c r="W21" s="1052"/>
      <c r="X21" s="1067"/>
      <c r="Y21" s="1068"/>
      <c r="Z21" s="1068"/>
      <c r="AA21" s="1068"/>
      <c r="AB21" s="1069"/>
      <c r="AC21" s="1052"/>
      <c r="AD21" s="1095"/>
      <c r="AG21" s="1042"/>
      <c r="AH21" s="1052"/>
      <c r="AI21" s="1067"/>
      <c r="AJ21" s="1068"/>
      <c r="AK21" s="1068"/>
      <c r="AL21" s="1068"/>
      <c r="AM21" s="1069"/>
      <c r="AN21" s="1052"/>
      <c r="AO21" s="1095"/>
      <c r="AQ21" s="1042"/>
      <c r="AR21" s="1052"/>
      <c r="AS21" s="1052"/>
      <c r="AT21" s="1052"/>
      <c r="AU21" s="1052"/>
      <c r="AV21" s="1052"/>
      <c r="AW21" s="1052"/>
      <c r="AX21" s="1052"/>
      <c r="AY21" s="1052"/>
      <c r="AZ21" s="1095"/>
    </row>
    <row r="22" customHeight="1" spans="2:52">
      <c r="B22" s="1042"/>
      <c r="C22" s="1052"/>
      <c r="D22" s="1052"/>
      <c r="E22" s="1052"/>
      <c r="F22" s="1052"/>
      <c r="G22" s="1070"/>
      <c r="H22" s="1052"/>
      <c r="I22" s="1052"/>
      <c r="J22" s="1095"/>
      <c r="L22" s="1042"/>
      <c r="M22" s="1052"/>
      <c r="N22" s="1052"/>
      <c r="O22" s="1052"/>
      <c r="P22" s="1052"/>
      <c r="Q22" s="1070"/>
      <c r="R22" s="1052"/>
      <c r="S22" s="1052"/>
      <c r="T22" s="1095"/>
      <c r="V22" s="1042"/>
      <c r="W22" s="1052"/>
      <c r="X22" s="1052"/>
      <c r="Y22" s="1052"/>
      <c r="Z22" s="1052"/>
      <c r="AA22" s="1070"/>
      <c r="AB22" s="1052"/>
      <c r="AC22" s="1052"/>
      <c r="AD22" s="1095"/>
      <c r="AG22" s="1042"/>
      <c r="AH22" s="1052"/>
      <c r="AI22" s="1052"/>
      <c r="AJ22" s="1052"/>
      <c r="AK22" s="1052"/>
      <c r="AL22" s="1070"/>
      <c r="AM22" s="1052"/>
      <c r="AN22" s="1052"/>
      <c r="AO22" s="1095"/>
      <c r="AQ22" s="1042"/>
      <c r="AR22" s="1052"/>
      <c r="AS22" s="1052"/>
      <c r="AT22" s="1052"/>
      <c r="AU22" s="1052"/>
      <c r="AV22" s="1052"/>
      <c r="AW22" s="1052"/>
      <c r="AX22" s="1052"/>
      <c r="AY22" s="1052"/>
      <c r="AZ22" s="1095"/>
    </row>
    <row r="23" customHeight="1" spans="2:52">
      <c r="B23" s="1042"/>
      <c r="C23" s="1052"/>
      <c r="D23" s="1043" t="s">
        <v>14</v>
      </c>
      <c r="E23" s="1044"/>
      <c r="F23" s="1044"/>
      <c r="G23" s="1044"/>
      <c r="H23" s="1071"/>
      <c r="I23" s="1052"/>
      <c r="J23" s="1095"/>
      <c r="L23" s="1042"/>
      <c r="M23" s="1052"/>
      <c r="N23" s="1043" t="s">
        <v>14</v>
      </c>
      <c r="O23" s="1044"/>
      <c r="P23" s="1044"/>
      <c r="Q23" s="1044"/>
      <c r="R23" s="1071"/>
      <c r="S23" s="1052"/>
      <c r="T23" s="1095"/>
      <c r="V23" s="1042"/>
      <c r="W23" s="1052"/>
      <c r="X23" s="1043" t="s">
        <v>14</v>
      </c>
      <c r="Y23" s="1044"/>
      <c r="Z23" s="1044"/>
      <c r="AA23" s="1044"/>
      <c r="AB23" s="1071"/>
      <c r="AC23" s="1052"/>
      <c r="AD23" s="1095"/>
      <c r="AG23" s="1042"/>
      <c r="AH23" s="1052"/>
      <c r="AI23" s="1043" t="s">
        <v>14</v>
      </c>
      <c r="AJ23" s="1044"/>
      <c r="AK23" s="1044"/>
      <c r="AL23" s="1044"/>
      <c r="AM23" s="1071"/>
      <c r="AN23" s="1052"/>
      <c r="AO23" s="1095"/>
      <c r="AQ23" s="1042"/>
      <c r="AR23" s="1052"/>
      <c r="AS23" s="1052"/>
      <c r="AT23" s="1052"/>
      <c r="AU23" s="1052"/>
      <c r="AV23" s="1052"/>
      <c r="AW23" s="1052"/>
      <c r="AX23" s="1052"/>
      <c r="AY23" s="1052"/>
      <c r="AZ23" s="1095"/>
    </row>
    <row r="24" customHeight="1" spans="2:52">
      <c r="B24" s="1042"/>
      <c r="C24" s="1052"/>
      <c r="D24" s="1046"/>
      <c r="E24" s="1047"/>
      <c r="F24" s="1047"/>
      <c r="G24" s="1047"/>
      <c r="H24" s="1072"/>
      <c r="I24" s="1052"/>
      <c r="J24" s="1095"/>
      <c r="L24" s="1042"/>
      <c r="M24" s="1052"/>
      <c r="N24" s="1046"/>
      <c r="O24" s="1047"/>
      <c r="P24" s="1047"/>
      <c r="Q24" s="1047"/>
      <c r="R24" s="1072"/>
      <c r="S24" s="1052"/>
      <c r="T24" s="1095"/>
      <c r="V24" s="1042"/>
      <c r="W24" s="1052"/>
      <c r="X24" s="1046"/>
      <c r="Y24" s="1047"/>
      <c r="Z24" s="1047"/>
      <c r="AA24" s="1047"/>
      <c r="AB24" s="1072"/>
      <c r="AC24" s="1052"/>
      <c r="AD24" s="1095"/>
      <c r="AG24" s="1042"/>
      <c r="AH24" s="1052"/>
      <c r="AI24" s="1046"/>
      <c r="AJ24" s="1047"/>
      <c r="AK24" s="1047"/>
      <c r="AL24" s="1047"/>
      <c r="AM24" s="1072"/>
      <c r="AN24" s="1052"/>
      <c r="AO24" s="1095"/>
      <c r="AQ24" s="1042"/>
      <c r="AR24" s="1052"/>
      <c r="AS24" s="1052"/>
      <c r="AT24" s="1052"/>
      <c r="AU24" s="1052"/>
      <c r="AV24" s="1052"/>
      <c r="AW24" s="1052"/>
      <c r="AX24" s="1052"/>
      <c r="AY24" s="1052"/>
      <c r="AZ24" s="1095"/>
    </row>
    <row r="25" customHeight="1" spans="2:52">
      <c r="B25" s="1042"/>
      <c r="C25" s="1052"/>
      <c r="D25" s="1049"/>
      <c r="E25" s="1050"/>
      <c r="F25" s="1050"/>
      <c r="G25" s="1050"/>
      <c r="H25" s="1073"/>
      <c r="I25" s="1052"/>
      <c r="J25" s="1095"/>
      <c r="L25" s="1042"/>
      <c r="M25" s="1052"/>
      <c r="N25" s="1049"/>
      <c r="O25" s="1050"/>
      <c r="P25" s="1050"/>
      <c r="Q25" s="1050"/>
      <c r="R25" s="1073"/>
      <c r="S25" s="1052"/>
      <c r="T25" s="1095"/>
      <c r="V25" s="1042"/>
      <c r="W25" s="1052"/>
      <c r="X25" s="1049"/>
      <c r="Y25" s="1050"/>
      <c r="Z25" s="1050"/>
      <c r="AA25" s="1050"/>
      <c r="AB25" s="1073"/>
      <c r="AC25" s="1052"/>
      <c r="AD25" s="1095"/>
      <c r="AG25" s="1042"/>
      <c r="AH25" s="1052"/>
      <c r="AI25" s="1049"/>
      <c r="AJ25" s="1050"/>
      <c r="AK25" s="1050"/>
      <c r="AL25" s="1050"/>
      <c r="AM25" s="1073"/>
      <c r="AN25" s="1052"/>
      <c r="AO25" s="1095"/>
      <c r="AQ25" s="1042"/>
      <c r="AR25" s="1052"/>
      <c r="AS25" s="1052"/>
      <c r="AT25" s="1052"/>
      <c r="AU25" s="1052"/>
      <c r="AV25" s="1052"/>
      <c r="AW25" s="1052"/>
      <c r="AX25" s="1052"/>
      <c r="AY25" s="1052"/>
      <c r="AZ25" s="1095"/>
    </row>
    <row r="26" customHeight="1" spans="2:52">
      <c r="B26" s="1042"/>
      <c r="C26" s="1052"/>
      <c r="D26" s="1052"/>
      <c r="E26" s="1052"/>
      <c r="F26" s="1052"/>
      <c r="G26" s="1070"/>
      <c r="H26" s="1052"/>
      <c r="I26" s="1052"/>
      <c r="J26" s="1095"/>
      <c r="L26" s="1042"/>
      <c r="M26" s="1052"/>
      <c r="N26" s="1052"/>
      <c r="O26" s="1052"/>
      <c r="P26" s="1052"/>
      <c r="Q26" s="1070"/>
      <c r="R26" s="1052"/>
      <c r="S26" s="1052"/>
      <c r="T26" s="1095"/>
      <c r="V26" s="1042"/>
      <c r="W26" s="1052"/>
      <c r="X26" s="1052"/>
      <c r="Y26" s="1052"/>
      <c r="Z26" s="1052"/>
      <c r="AA26" s="1070"/>
      <c r="AB26" s="1052"/>
      <c r="AC26" s="1052"/>
      <c r="AD26" s="1095"/>
      <c r="AG26" s="1042"/>
      <c r="AH26" s="1052"/>
      <c r="AI26" s="1052"/>
      <c r="AJ26" s="1052"/>
      <c r="AK26" s="1052"/>
      <c r="AL26" s="1070"/>
      <c r="AM26" s="1052"/>
      <c r="AN26" s="1052"/>
      <c r="AO26" s="1095"/>
      <c r="AQ26" s="1042"/>
      <c r="AR26" s="1052"/>
      <c r="AS26" s="1052"/>
      <c r="AT26" s="1052"/>
      <c r="AU26" s="1052"/>
      <c r="AV26" s="1052"/>
      <c r="AW26" s="1052"/>
      <c r="AX26" s="1052"/>
      <c r="AY26" s="1052"/>
      <c r="AZ26" s="1095"/>
    </row>
    <row r="27" customHeight="1" spans="2:52">
      <c r="B27" s="1042"/>
      <c r="C27" s="1052"/>
      <c r="D27" s="1043" t="s">
        <v>11</v>
      </c>
      <c r="E27" s="1044"/>
      <c r="F27" s="1044"/>
      <c r="G27" s="1044"/>
      <c r="H27" s="1071"/>
      <c r="I27" s="1052"/>
      <c r="J27" s="1095"/>
      <c r="L27" s="1042"/>
      <c r="M27" s="1052"/>
      <c r="N27" s="1043" t="s">
        <v>11</v>
      </c>
      <c r="O27" s="1044"/>
      <c r="P27" s="1044"/>
      <c r="Q27" s="1044"/>
      <c r="R27" s="1071"/>
      <c r="S27" s="1052"/>
      <c r="T27" s="1095"/>
      <c r="V27" s="1042"/>
      <c r="W27" s="1052"/>
      <c r="X27" s="1043" t="s">
        <v>11</v>
      </c>
      <c r="Y27" s="1044"/>
      <c r="Z27" s="1044"/>
      <c r="AA27" s="1044"/>
      <c r="AB27" s="1071"/>
      <c r="AC27" s="1052"/>
      <c r="AD27" s="1095"/>
      <c r="AG27" s="1042"/>
      <c r="AH27" s="1052"/>
      <c r="AI27" s="1043" t="s">
        <v>11</v>
      </c>
      <c r="AJ27" s="1044"/>
      <c r="AK27" s="1044"/>
      <c r="AL27" s="1044"/>
      <c r="AM27" s="1071"/>
      <c r="AN27" s="1052"/>
      <c r="AO27" s="1095"/>
      <c r="AQ27" s="1042"/>
      <c r="AR27" s="1052"/>
      <c r="AS27" s="1052"/>
      <c r="AT27" s="1052"/>
      <c r="AU27" s="1052"/>
      <c r="AV27" s="1052"/>
      <c r="AW27" s="1052"/>
      <c r="AX27" s="1052"/>
      <c r="AY27" s="1052"/>
      <c r="AZ27" s="1095"/>
    </row>
    <row r="28" customHeight="1" spans="2:52">
      <c r="B28" s="1042"/>
      <c r="C28" s="1052"/>
      <c r="D28" s="1046"/>
      <c r="E28" s="1047"/>
      <c r="F28" s="1047"/>
      <c r="G28" s="1047"/>
      <c r="H28" s="1072"/>
      <c r="I28" s="1052"/>
      <c r="J28" s="1095"/>
      <c r="L28" s="1042"/>
      <c r="M28" s="1052"/>
      <c r="N28" s="1046"/>
      <c r="O28" s="1047"/>
      <c r="P28" s="1047"/>
      <c r="Q28" s="1047"/>
      <c r="R28" s="1072"/>
      <c r="S28" s="1052"/>
      <c r="T28" s="1095"/>
      <c r="V28" s="1042"/>
      <c r="W28" s="1052"/>
      <c r="X28" s="1046"/>
      <c r="Y28" s="1047"/>
      <c r="Z28" s="1047"/>
      <c r="AA28" s="1047"/>
      <c r="AB28" s="1072"/>
      <c r="AC28" s="1052"/>
      <c r="AD28" s="1095"/>
      <c r="AG28" s="1042"/>
      <c r="AH28" s="1052"/>
      <c r="AI28" s="1046"/>
      <c r="AJ28" s="1047"/>
      <c r="AK28" s="1047"/>
      <c r="AL28" s="1047"/>
      <c r="AM28" s="1072"/>
      <c r="AN28" s="1052"/>
      <c r="AO28" s="1095"/>
      <c r="AQ28" s="1042"/>
      <c r="AR28" s="1052"/>
      <c r="AS28" s="1052"/>
      <c r="AT28" s="1052"/>
      <c r="AU28" s="1052"/>
      <c r="AV28" s="1052"/>
      <c r="AW28" s="1052"/>
      <c r="AX28" s="1052"/>
      <c r="AY28" s="1052"/>
      <c r="AZ28" s="1095"/>
    </row>
    <row r="29" customHeight="1" spans="2:52">
      <c r="B29" s="1042"/>
      <c r="C29" s="1052"/>
      <c r="D29" s="1049"/>
      <c r="E29" s="1050"/>
      <c r="F29" s="1050"/>
      <c r="G29" s="1050"/>
      <c r="H29" s="1073"/>
      <c r="I29" s="1052"/>
      <c r="J29" s="1095"/>
      <c r="L29" s="1042"/>
      <c r="M29" s="1052"/>
      <c r="N29" s="1049"/>
      <c r="O29" s="1050"/>
      <c r="P29" s="1050"/>
      <c r="Q29" s="1050"/>
      <c r="R29" s="1073"/>
      <c r="S29" s="1052"/>
      <c r="T29" s="1095"/>
      <c r="V29" s="1042"/>
      <c r="W29" s="1052"/>
      <c r="X29" s="1049"/>
      <c r="Y29" s="1050"/>
      <c r="Z29" s="1050"/>
      <c r="AA29" s="1050"/>
      <c r="AB29" s="1073"/>
      <c r="AC29" s="1052"/>
      <c r="AD29" s="1095"/>
      <c r="AG29" s="1042"/>
      <c r="AH29" s="1052"/>
      <c r="AI29" s="1049"/>
      <c r="AJ29" s="1050"/>
      <c r="AK29" s="1050"/>
      <c r="AL29" s="1050"/>
      <c r="AM29" s="1073"/>
      <c r="AN29" s="1052"/>
      <c r="AO29" s="1095"/>
      <c r="AQ29" s="1042"/>
      <c r="AR29" s="1052"/>
      <c r="AS29" s="1052"/>
      <c r="AT29" s="1052"/>
      <c r="AU29" s="1052"/>
      <c r="AV29" s="1052"/>
      <c r="AW29" s="1052"/>
      <c r="AX29" s="1052"/>
      <c r="AY29" s="1052"/>
      <c r="AZ29" s="1095"/>
    </row>
    <row r="30" customHeight="1" spans="2:52">
      <c r="B30" s="1042"/>
      <c r="C30" s="1052"/>
      <c r="D30" s="1052"/>
      <c r="E30" s="1052"/>
      <c r="F30" s="1052"/>
      <c r="G30" s="1052"/>
      <c r="H30" s="1052"/>
      <c r="I30" s="1052"/>
      <c r="J30" s="1095"/>
      <c r="L30" s="1042"/>
      <c r="M30" s="1052"/>
      <c r="N30" s="1052"/>
      <c r="O30" s="1052"/>
      <c r="P30" s="1052"/>
      <c r="Q30" s="1052"/>
      <c r="R30" s="1052"/>
      <c r="S30" s="1052"/>
      <c r="T30" s="1095"/>
      <c r="V30" s="1042"/>
      <c r="W30" s="1052"/>
      <c r="X30" s="1052"/>
      <c r="Y30" s="1052"/>
      <c r="Z30" s="1052"/>
      <c r="AA30" s="1052"/>
      <c r="AB30" s="1052"/>
      <c r="AC30" s="1052"/>
      <c r="AD30" s="1095"/>
      <c r="AG30" s="1042"/>
      <c r="AH30" s="1052"/>
      <c r="AI30" s="1052"/>
      <c r="AJ30" s="1052"/>
      <c r="AK30" s="1052"/>
      <c r="AL30" s="1052"/>
      <c r="AM30" s="1052"/>
      <c r="AN30" s="1052"/>
      <c r="AO30" s="1095"/>
      <c r="AQ30" s="1042"/>
      <c r="AR30" s="1052"/>
      <c r="AS30" s="1052"/>
      <c r="AT30" s="1052"/>
      <c r="AU30" s="1052"/>
      <c r="AV30" s="1052"/>
      <c r="AW30" s="1052"/>
      <c r="AX30" s="1052"/>
      <c r="AY30" s="1052"/>
      <c r="AZ30" s="1095"/>
    </row>
    <row r="31" customHeight="1" spans="2:52">
      <c r="B31" s="1042"/>
      <c r="C31" s="1074" t="s">
        <v>12</v>
      </c>
      <c r="D31" s="1075"/>
      <c r="E31" s="1075"/>
      <c r="F31" s="1075"/>
      <c r="G31" s="1075"/>
      <c r="H31" s="1076"/>
      <c r="I31" s="1100"/>
      <c r="J31" s="1095"/>
      <c r="L31" s="1042"/>
      <c r="M31" s="1074" t="s">
        <v>12</v>
      </c>
      <c r="N31" s="1075"/>
      <c r="O31" s="1075"/>
      <c r="P31" s="1075"/>
      <c r="Q31" s="1075"/>
      <c r="R31" s="1076"/>
      <c r="S31" s="1100"/>
      <c r="T31" s="1095"/>
      <c r="V31" s="1042"/>
      <c r="W31" s="1053" t="s">
        <v>15</v>
      </c>
      <c r="X31" s="1054"/>
      <c r="Y31" s="1054"/>
      <c r="Z31" s="1054"/>
      <c r="AA31" s="1054"/>
      <c r="AB31" s="1054"/>
      <c r="AC31" s="1097"/>
      <c r="AD31" s="1095"/>
      <c r="AG31" s="1042"/>
      <c r="AH31" s="1162" t="s">
        <v>16</v>
      </c>
      <c r="AI31" s="1163"/>
      <c r="AJ31" s="1163"/>
      <c r="AK31" s="1163"/>
      <c r="AL31" s="1163"/>
      <c r="AM31" s="1164"/>
      <c r="AN31" s="1165"/>
      <c r="AO31" s="1095"/>
      <c r="AQ31" s="1042"/>
      <c r="AR31" s="1052"/>
      <c r="AS31" s="1052"/>
      <c r="AT31" s="1052"/>
      <c r="AU31" s="1052"/>
      <c r="AV31" s="1052"/>
      <c r="AW31" s="1052"/>
      <c r="AX31" s="1052"/>
      <c r="AY31" s="1052"/>
      <c r="AZ31" s="1095"/>
    </row>
    <row r="32" customHeight="1" spans="2:52">
      <c r="B32" s="1042"/>
      <c r="C32" s="1077"/>
      <c r="D32" s="1078"/>
      <c r="E32" s="1078"/>
      <c r="F32" s="1078"/>
      <c r="G32" s="1078"/>
      <c r="H32" s="1079"/>
      <c r="I32" s="1101"/>
      <c r="J32" s="1095"/>
      <c r="L32" s="1042"/>
      <c r="M32" s="1077"/>
      <c r="N32" s="1078"/>
      <c r="O32" s="1078"/>
      <c r="P32" s="1078"/>
      <c r="Q32" s="1078"/>
      <c r="R32" s="1079"/>
      <c r="S32" s="1101"/>
      <c r="T32" s="1095"/>
      <c r="V32" s="1042"/>
      <c r="W32" s="1055"/>
      <c r="X32" s="1056"/>
      <c r="Y32" s="1056"/>
      <c r="Z32" s="1056"/>
      <c r="AA32" s="1056"/>
      <c r="AB32" s="1056"/>
      <c r="AC32" s="1098"/>
      <c r="AD32" s="1095"/>
      <c r="AG32" s="1042"/>
      <c r="AH32" s="1166"/>
      <c r="AI32" s="1167"/>
      <c r="AJ32" s="1167"/>
      <c r="AK32" s="1167"/>
      <c r="AL32" s="1167"/>
      <c r="AM32" s="1168"/>
      <c r="AN32" s="1169"/>
      <c r="AO32" s="1095"/>
      <c r="AQ32" s="1042"/>
      <c r="AR32" s="1052"/>
      <c r="AS32" s="1052"/>
      <c r="AT32" s="1052"/>
      <c r="AU32" s="1052"/>
      <c r="AV32" s="1052"/>
      <c r="AW32" s="1052"/>
      <c r="AX32" s="1052"/>
      <c r="AY32" s="1052"/>
      <c r="AZ32" s="1095"/>
    </row>
    <row r="33" customHeight="1" spans="2:52">
      <c r="B33" s="1042"/>
      <c r="C33" s="1080"/>
      <c r="D33" s="1081"/>
      <c r="E33" s="1081"/>
      <c r="F33" s="1081"/>
      <c r="G33" s="1081"/>
      <c r="H33" s="1082"/>
      <c r="I33" s="1102"/>
      <c r="J33" s="1095"/>
      <c r="L33" s="1042"/>
      <c r="M33" s="1080"/>
      <c r="N33" s="1081"/>
      <c r="O33" s="1081"/>
      <c r="P33" s="1081"/>
      <c r="Q33" s="1081"/>
      <c r="R33" s="1082"/>
      <c r="S33" s="1102"/>
      <c r="T33" s="1095"/>
      <c r="V33" s="1042"/>
      <c r="W33" s="1057"/>
      <c r="X33" s="1058"/>
      <c r="Y33" s="1058"/>
      <c r="Z33" s="1058"/>
      <c r="AA33" s="1058"/>
      <c r="AB33" s="1058"/>
      <c r="AC33" s="1099"/>
      <c r="AD33" s="1095"/>
      <c r="AG33" s="1042"/>
      <c r="AH33" s="1170"/>
      <c r="AI33" s="1171"/>
      <c r="AJ33" s="1171"/>
      <c r="AK33" s="1171"/>
      <c r="AL33" s="1171"/>
      <c r="AM33" s="1172"/>
      <c r="AN33" s="1173"/>
      <c r="AO33" s="1095"/>
      <c r="AQ33" s="1042"/>
      <c r="AR33" s="1052"/>
      <c r="AS33" s="1052"/>
      <c r="AT33" s="1052"/>
      <c r="AU33" s="1052"/>
      <c r="AV33" s="1052"/>
      <c r="AW33" s="1052"/>
      <c r="AX33" s="1052"/>
      <c r="AY33" s="1052"/>
      <c r="AZ33" s="1095"/>
    </row>
    <row r="34" customHeight="1" spans="2:52">
      <c r="B34" s="1042"/>
      <c r="C34" s="1052"/>
      <c r="D34" s="1052"/>
      <c r="E34" s="1052"/>
      <c r="F34" s="1052"/>
      <c r="G34" s="1052"/>
      <c r="H34" s="1052"/>
      <c r="I34" s="1052"/>
      <c r="J34" s="1095"/>
      <c r="L34" s="1042"/>
      <c r="M34" s="1052"/>
      <c r="N34" s="1052"/>
      <c r="O34" s="1052"/>
      <c r="P34" s="1052"/>
      <c r="Q34" s="1052"/>
      <c r="R34" s="1052"/>
      <c r="S34" s="1052"/>
      <c r="T34" s="1095"/>
      <c r="V34" s="1042"/>
      <c r="W34" s="1052"/>
      <c r="X34" s="1052"/>
      <c r="Y34" s="1052"/>
      <c r="Z34" s="1052"/>
      <c r="AA34" s="1059"/>
      <c r="AB34" s="1052"/>
      <c r="AC34" s="1052"/>
      <c r="AD34" s="1095"/>
      <c r="AG34" s="1042"/>
      <c r="AH34" s="1052"/>
      <c r="AI34" s="1052"/>
      <c r="AJ34" s="1052"/>
      <c r="AK34" s="1052"/>
      <c r="AL34" s="1052"/>
      <c r="AM34" s="1052"/>
      <c r="AN34" s="1052"/>
      <c r="AO34" s="1095"/>
      <c r="AQ34" s="1042"/>
      <c r="AR34" s="1052"/>
      <c r="AS34" s="1052"/>
      <c r="AT34" s="1052"/>
      <c r="AU34" s="1052"/>
      <c r="AV34" s="1052"/>
      <c r="AW34" s="1052"/>
      <c r="AX34" s="1052"/>
      <c r="AY34" s="1052"/>
      <c r="AZ34" s="1095"/>
    </row>
    <row r="35" customHeight="1" spans="2:52">
      <c r="B35" s="1042"/>
      <c r="C35" s="1052"/>
      <c r="D35" s="1052"/>
      <c r="E35" s="1052"/>
      <c r="F35" s="1052"/>
      <c r="G35" s="1052"/>
      <c r="H35" s="1052"/>
      <c r="I35" s="1052"/>
      <c r="J35" s="1095"/>
      <c r="L35" s="1042"/>
      <c r="M35" s="1052"/>
      <c r="N35" s="1052"/>
      <c r="O35" s="1052"/>
      <c r="P35" s="1052"/>
      <c r="Q35" s="1052"/>
      <c r="R35" s="1052"/>
      <c r="S35" s="1052"/>
      <c r="T35" s="1095"/>
      <c r="V35" s="1042"/>
      <c r="W35" s="1052"/>
      <c r="X35" s="1043" t="s">
        <v>17</v>
      </c>
      <c r="Y35" s="1044"/>
      <c r="Z35" s="1044"/>
      <c r="AA35" s="1044"/>
      <c r="AB35" s="1071"/>
      <c r="AC35" s="1052"/>
      <c r="AD35" s="1095"/>
      <c r="AG35" s="1042"/>
      <c r="AH35" s="1162" t="s">
        <v>12</v>
      </c>
      <c r="AI35" s="1163"/>
      <c r="AJ35" s="1163"/>
      <c r="AK35" s="1163"/>
      <c r="AL35" s="1163"/>
      <c r="AM35" s="1164"/>
      <c r="AN35" s="1165"/>
      <c r="AO35" s="1095"/>
      <c r="AQ35" s="1042"/>
      <c r="AR35" s="1052"/>
      <c r="AS35" s="1052"/>
      <c r="AT35" s="1052"/>
      <c r="AU35" s="1052"/>
      <c r="AV35" s="1052"/>
      <c r="AW35" s="1052"/>
      <c r="AX35" s="1052"/>
      <c r="AY35" s="1052"/>
      <c r="AZ35" s="1095"/>
    </row>
    <row r="36" customHeight="1" spans="2:52">
      <c r="B36" s="1042"/>
      <c r="C36" s="1052"/>
      <c r="D36" s="1052"/>
      <c r="E36" s="1052"/>
      <c r="F36" s="1052"/>
      <c r="G36" s="1052"/>
      <c r="H36" s="1052"/>
      <c r="I36" s="1052"/>
      <c r="J36" s="1095"/>
      <c r="L36" s="1042"/>
      <c r="M36" s="1052"/>
      <c r="N36" s="1052"/>
      <c r="O36" s="1052"/>
      <c r="P36" s="1052"/>
      <c r="Q36" s="1052"/>
      <c r="R36" s="1052"/>
      <c r="S36" s="1052"/>
      <c r="T36" s="1095"/>
      <c r="V36" s="1042"/>
      <c r="W36" s="1052"/>
      <c r="X36" s="1046"/>
      <c r="Y36" s="1047"/>
      <c r="Z36" s="1047"/>
      <c r="AA36" s="1047"/>
      <c r="AB36" s="1072"/>
      <c r="AC36" s="1052"/>
      <c r="AD36" s="1095"/>
      <c r="AG36" s="1042"/>
      <c r="AH36" s="1166"/>
      <c r="AI36" s="1167"/>
      <c r="AJ36" s="1167"/>
      <c r="AK36" s="1167"/>
      <c r="AL36" s="1167"/>
      <c r="AM36" s="1168"/>
      <c r="AN36" s="1169"/>
      <c r="AO36" s="1095"/>
      <c r="AQ36" s="1042"/>
      <c r="AR36" s="1052"/>
      <c r="AS36" s="1052"/>
      <c r="AT36" s="1052"/>
      <c r="AU36" s="1052"/>
      <c r="AV36" s="1052"/>
      <c r="AW36" s="1052"/>
      <c r="AX36" s="1052"/>
      <c r="AY36" s="1052"/>
      <c r="AZ36" s="1095"/>
    </row>
    <row r="37" customHeight="1" spans="2:52">
      <c r="B37" s="1042"/>
      <c r="C37" s="1052"/>
      <c r="D37" s="1052"/>
      <c r="E37" s="1052"/>
      <c r="F37" s="1052"/>
      <c r="G37" s="1052"/>
      <c r="H37" s="1052"/>
      <c r="I37" s="1052"/>
      <c r="J37" s="1095"/>
      <c r="L37" s="1042"/>
      <c r="M37" s="1052"/>
      <c r="N37" s="1052"/>
      <c r="O37" s="1052"/>
      <c r="P37" s="1052"/>
      <c r="Q37" s="1052"/>
      <c r="R37" s="1052"/>
      <c r="S37" s="1052"/>
      <c r="T37" s="1095"/>
      <c r="V37" s="1042"/>
      <c r="W37" s="1052"/>
      <c r="X37" s="1049"/>
      <c r="Y37" s="1050"/>
      <c r="Z37" s="1050"/>
      <c r="AA37" s="1050"/>
      <c r="AB37" s="1073"/>
      <c r="AC37" s="1052"/>
      <c r="AD37" s="1095"/>
      <c r="AG37" s="1042"/>
      <c r="AH37" s="1170"/>
      <c r="AI37" s="1171"/>
      <c r="AJ37" s="1171"/>
      <c r="AK37" s="1171"/>
      <c r="AL37" s="1171"/>
      <c r="AM37" s="1172"/>
      <c r="AN37" s="1173"/>
      <c r="AO37" s="1095"/>
      <c r="AQ37" s="1042"/>
      <c r="AR37" s="1052"/>
      <c r="AS37" s="1052"/>
      <c r="AT37" s="1052"/>
      <c r="AU37" s="1052"/>
      <c r="AV37" s="1052"/>
      <c r="AW37" s="1052"/>
      <c r="AX37" s="1052"/>
      <c r="AY37" s="1052"/>
      <c r="AZ37" s="1095"/>
    </row>
    <row r="38" customHeight="1" spans="2:52">
      <c r="B38" s="1042"/>
      <c r="C38" s="1052"/>
      <c r="D38" s="1052"/>
      <c r="E38" s="1052"/>
      <c r="F38" s="1052"/>
      <c r="G38" s="1052"/>
      <c r="H38" s="1052"/>
      <c r="I38" s="1052"/>
      <c r="J38" s="1095"/>
      <c r="L38" s="1042"/>
      <c r="M38" s="1052"/>
      <c r="N38" s="1052"/>
      <c r="O38" s="1052"/>
      <c r="P38" s="1052"/>
      <c r="Q38" s="1052"/>
      <c r="R38" s="1052"/>
      <c r="S38" s="1052"/>
      <c r="T38" s="1095"/>
      <c r="V38" s="1042"/>
      <c r="W38" s="1052"/>
      <c r="X38" s="1052"/>
      <c r="Y38" s="1052"/>
      <c r="Z38" s="1052"/>
      <c r="AA38" s="1070"/>
      <c r="AB38" s="1052"/>
      <c r="AC38" s="1052"/>
      <c r="AD38" s="1095"/>
      <c r="AG38" s="1042"/>
      <c r="AH38" s="1052"/>
      <c r="AI38" s="1052"/>
      <c r="AJ38" s="1052"/>
      <c r="AK38" s="1052"/>
      <c r="AL38" s="1052"/>
      <c r="AM38" s="1052"/>
      <c r="AN38" s="1052"/>
      <c r="AO38" s="1095"/>
      <c r="AQ38" s="1042"/>
      <c r="AR38" s="1052"/>
      <c r="AS38" s="1052"/>
      <c r="AT38" s="1052"/>
      <c r="AU38" s="1052"/>
      <c r="AV38" s="1052"/>
      <c r="AW38" s="1052"/>
      <c r="AX38" s="1052"/>
      <c r="AY38" s="1052"/>
      <c r="AZ38" s="1095"/>
    </row>
    <row r="39" customHeight="1" spans="2:52">
      <c r="B39" s="1042"/>
      <c r="C39" s="1052"/>
      <c r="D39" s="1052"/>
      <c r="E39" s="1052"/>
      <c r="F39" s="1052"/>
      <c r="G39" s="1052"/>
      <c r="H39" s="1052"/>
      <c r="I39" s="1052"/>
      <c r="J39" s="1095"/>
      <c r="L39" s="1042"/>
      <c r="M39" s="1052"/>
      <c r="N39" s="1052"/>
      <c r="O39" s="1052"/>
      <c r="P39" s="1052"/>
      <c r="Q39" s="1052"/>
      <c r="R39" s="1052"/>
      <c r="S39" s="1052"/>
      <c r="T39" s="1095"/>
      <c r="V39" s="1042"/>
      <c r="W39" s="1052"/>
      <c r="X39" s="1043" t="s">
        <v>18</v>
      </c>
      <c r="Y39" s="1044"/>
      <c r="Z39" s="1044"/>
      <c r="AA39" s="1044"/>
      <c r="AB39" s="1071"/>
      <c r="AC39" s="1052"/>
      <c r="AD39" s="1095"/>
      <c r="AG39" s="1042"/>
      <c r="AH39" s="1052"/>
      <c r="AI39" s="1052"/>
      <c r="AJ39" s="1052"/>
      <c r="AK39" s="1052"/>
      <c r="AL39" s="1052"/>
      <c r="AM39" s="1052"/>
      <c r="AN39" s="1052"/>
      <c r="AO39" s="1095"/>
      <c r="AQ39" s="1042"/>
      <c r="AR39" s="1052"/>
      <c r="AS39" s="1052"/>
      <c r="AT39" s="1052"/>
      <c r="AU39" s="1052"/>
      <c r="AV39" s="1052"/>
      <c r="AW39" s="1052"/>
      <c r="AX39" s="1052"/>
      <c r="AY39" s="1052"/>
      <c r="AZ39" s="1095"/>
    </row>
    <row r="40" customHeight="1" spans="2:52">
      <c r="B40" s="1042"/>
      <c r="C40" s="1052"/>
      <c r="D40" s="1052"/>
      <c r="E40" s="1052"/>
      <c r="F40" s="1052"/>
      <c r="G40" s="1052"/>
      <c r="H40" s="1052"/>
      <c r="I40" s="1052"/>
      <c r="J40" s="1095"/>
      <c r="L40" s="1042"/>
      <c r="M40" s="1052"/>
      <c r="N40" s="1052"/>
      <c r="O40" s="1052"/>
      <c r="P40" s="1052"/>
      <c r="Q40" s="1052"/>
      <c r="R40" s="1052"/>
      <c r="S40" s="1052"/>
      <c r="T40" s="1095"/>
      <c r="V40" s="1042"/>
      <c r="W40" s="1052"/>
      <c r="X40" s="1046"/>
      <c r="Y40" s="1047"/>
      <c r="Z40" s="1047"/>
      <c r="AA40" s="1047"/>
      <c r="AB40" s="1072"/>
      <c r="AC40" s="1052"/>
      <c r="AD40" s="1095"/>
      <c r="AG40" s="1042"/>
      <c r="AH40" s="1052"/>
      <c r="AI40" s="1052"/>
      <c r="AJ40" s="1052"/>
      <c r="AK40" s="1052"/>
      <c r="AL40" s="1052"/>
      <c r="AM40" s="1052"/>
      <c r="AN40" s="1052"/>
      <c r="AO40" s="1095"/>
      <c r="AQ40" s="1042"/>
      <c r="AR40" s="1052"/>
      <c r="AS40" s="1052"/>
      <c r="AT40" s="1052"/>
      <c r="AU40" s="1052"/>
      <c r="AV40" s="1052"/>
      <c r="AW40" s="1052"/>
      <c r="AX40" s="1052"/>
      <c r="AY40" s="1052"/>
      <c r="AZ40" s="1095"/>
    </row>
    <row r="41" customHeight="1" spans="2:52">
      <c r="B41" s="1042"/>
      <c r="C41" s="1052"/>
      <c r="D41" s="1052"/>
      <c r="E41" s="1052"/>
      <c r="F41" s="1052"/>
      <c r="G41" s="1052"/>
      <c r="H41" s="1052"/>
      <c r="I41" s="1052"/>
      <c r="J41" s="1095"/>
      <c r="L41" s="1042"/>
      <c r="M41" s="1052"/>
      <c r="N41" s="1052"/>
      <c r="O41" s="1052"/>
      <c r="P41" s="1052"/>
      <c r="Q41" s="1052"/>
      <c r="R41" s="1052"/>
      <c r="S41" s="1052"/>
      <c r="T41" s="1095"/>
      <c r="V41" s="1042"/>
      <c r="W41" s="1052"/>
      <c r="X41" s="1049"/>
      <c r="Y41" s="1050"/>
      <c r="Z41" s="1050"/>
      <c r="AA41" s="1050"/>
      <c r="AB41" s="1073"/>
      <c r="AC41" s="1052"/>
      <c r="AD41" s="1095"/>
      <c r="AG41" s="1042"/>
      <c r="AH41" s="1052"/>
      <c r="AI41" s="1052"/>
      <c r="AJ41" s="1052"/>
      <c r="AK41" s="1052"/>
      <c r="AL41" s="1052"/>
      <c r="AM41" s="1052"/>
      <c r="AN41" s="1052"/>
      <c r="AO41" s="1095"/>
      <c r="AQ41" s="1042"/>
      <c r="AR41" s="1052"/>
      <c r="AS41" s="1052"/>
      <c r="AT41" s="1052"/>
      <c r="AU41" s="1052"/>
      <c r="AV41" s="1052"/>
      <c r="AW41" s="1052"/>
      <c r="AX41" s="1052"/>
      <c r="AY41" s="1052"/>
      <c r="AZ41" s="1095"/>
    </row>
    <row r="42" customHeight="1" spans="2:52">
      <c r="B42" s="1042"/>
      <c r="C42" s="1052"/>
      <c r="D42" s="1052"/>
      <c r="E42" s="1052"/>
      <c r="F42" s="1052"/>
      <c r="G42" s="1052"/>
      <c r="H42" s="1052"/>
      <c r="I42" s="1052"/>
      <c r="J42" s="1095"/>
      <c r="L42" s="1042"/>
      <c r="M42" s="1052"/>
      <c r="N42" s="1052"/>
      <c r="O42" s="1052"/>
      <c r="P42" s="1052"/>
      <c r="Q42" s="1052"/>
      <c r="R42" s="1052"/>
      <c r="S42" s="1052"/>
      <c r="T42" s="1095"/>
      <c r="V42" s="1042"/>
      <c r="W42" s="1052"/>
      <c r="X42" s="1052"/>
      <c r="Y42" s="1052"/>
      <c r="Z42" s="1052"/>
      <c r="AA42" s="1052"/>
      <c r="AB42" s="1052"/>
      <c r="AC42" s="1052"/>
      <c r="AD42" s="1095"/>
      <c r="AE42" s="1103"/>
      <c r="AG42" s="1042"/>
      <c r="AH42" s="1052"/>
      <c r="AI42" s="1052"/>
      <c r="AJ42" s="1052"/>
      <c r="AK42" s="1052"/>
      <c r="AL42" s="1052"/>
      <c r="AM42" s="1052"/>
      <c r="AN42" s="1052"/>
      <c r="AO42" s="1095"/>
      <c r="AQ42" s="1042"/>
      <c r="AR42" s="1052"/>
      <c r="AS42" s="1052"/>
      <c r="AT42" s="1052"/>
      <c r="AU42" s="1052"/>
      <c r="AV42" s="1052"/>
      <c r="AW42" s="1052"/>
      <c r="AX42" s="1052"/>
      <c r="AY42" s="1052"/>
      <c r="AZ42" s="1095"/>
    </row>
    <row r="43" customHeight="1" spans="2:52">
      <c r="B43" s="1042"/>
      <c r="C43" s="1052"/>
      <c r="D43" s="1052"/>
      <c r="E43" s="1052"/>
      <c r="F43" s="1052"/>
      <c r="G43" s="1052"/>
      <c r="H43" s="1052"/>
      <c r="I43" s="1052"/>
      <c r="J43" s="1095"/>
      <c r="K43" s="1103"/>
      <c r="L43" s="1042"/>
      <c r="M43" s="1052"/>
      <c r="N43" s="1052"/>
      <c r="O43" s="1052"/>
      <c r="P43" s="1052"/>
      <c r="Q43" s="1052"/>
      <c r="R43" s="1052"/>
      <c r="S43" s="1052"/>
      <c r="T43" s="1095"/>
      <c r="U43" s="1103"/>
      <c r="V43" s="1042"/>
      <c r="W43" s="1052"/>
      <c r="X43" s="1052"/>
      <c r="Y43" s="1052"/>
      <c r="Z43" s="1052"/>
      <c r="AA43" s="1052"/>
      <c r="AB43" s="1052"/>
      <c r="AC43" s="1052"/>
      <c r="AD43" s="1095"/>
      <c r="AE43" s="1103"/>
      <c r="AF43" s="1103"/>
      <c r="AG43" s="1042"/>
      <c r="AH43" s="1052"/>
      <c r="AI43" s="1052"/>
      <c r="AJ43" s="1052"/>
      <c r="AK43" s="1052"/>
      <c r="AL43" s="1052"/>
      <c r="AM43" s="1052"/>
      <c r="AN43" s="1052"/>
      <c r="AO43" s="1095"/>
      <c r="AP43" s="1103"/>
      <c r="AQ43" s="1042"/>
      <c r="AR43" s="1052"/>
      <c r="AS43" s="1052"/>
      <c r="AT43" s="1052"/>
      <c r="AU43" s="1052"/>
      <c r="AV43" s="1052"/>
      <c r="AW43" s="1052"/>
      <c r="AX43" s="1052"/>
      <c r="AY43" s="1052"/>
      <c r="AZ43" s="1095"/>
    </row>
    <row r="44" customHeight="1" spans="2:52">
      <c r="B44" s="1042"/>
      <c r="C44" s="1052"/>
      <c r="D44" s="1052"/>
      <c r="E44" s="1052"/>
      <c r="F44" s="1052"/>
      <c r="G44" s="1052"/>
      <c r="H44" s="1052"/>
      <c r="I44" s="1052"/>
      <c r="J44" s="1095"/>
      <c r="K44" s="1103"/>
      <c r="L44" s="1042"/>
      <c r="M44" s="1052"/>
      <c r="N44" s="1052"/>
      <c r="O44" s="1052"/>
      <c r="P44" s="1052"/>
      <c r="Q44" s="1052"/>
      <c r="R44" s="1052"/>
      <c r="S44" s="1052"/>
      <c r="T44" s="1095"/>
      <c r="U44" s="1103"/>
      <c r="V44" s="1042"/>
      <c r="W44" s="1052"/>
      <c r="X44" s="1052"/>
      <c r="Y44" s="1052"/>
      <c r="Z44" s="1052"/>
      <c r="AA44" s="1052"/>
      <c r="AB44" s="1052"/>
      <c r="AC44" s="1052"/>
      <c r="AD44" s="1095"/>
      <c r="AE44" s="1103"/>
      <c r="AF44" s="1103"/>
      <c r="AG44" s="1042"/>
      <c r="AH44" s="1052"/>
      <c r="AI44" s="1052"/>
      <c r="AJ44" s="1052"/>
      <c r="AK44" s="1052"/>
      <c r="AL44" s="1052"/>
      <c r="AM44" s="1052"/>
      <c r="AN44" s="1052"/>
      <c r="AO44" s="1095"/>
      <c r="AP44" s="1103"/>
      <c r="AQ44" s="1042"/>
      <c r="AR44" s="1052"/>
      <c r="AS44" s="1052"/>
      <c r="AT44" s="1052"/>
      <c r="AU44" s="1052"/>
      <c r="AV44" s="1052"/>
      <c r="AW44" s="1052"/>
      <c r="AX44" s="1052"/>
      <c r="AY44" s="1052"/>
      <c r="AZ44" s="1095"/>
    </row>
    <row r="45" customHeight="1" spans="2:52">
      <c r="B45" s="1042"/>
      <c r="C45" s="1052"/>
      <c r="D45" s="1052"/>
      <c r="E45" s="1052"/>
      <c r="F45" s="1052"/>
      <c r="G45" s="1052"/>
      <c r="H45" s="1052"/>
      <c r="I45" s="1052"/>
      <c r="J45" s="1095"/>
      <c r="L45" s="1042"/>
      <c r="M45" s="1052"/>
      <c r="N45" s="1052"/>
      <c r="O45" s="1052"/>
      <c r="P45" s="1052"/>
      <c r="Q45" s="1052"/>
      <c r="R45" s="1052"/>
      <c r="S45" s="1052"/>
      <c r="T45" s="1095"/>
      <c r="V45" s="1042"/>
      <c r="W45" s="1052"/>
      <c r="X45" s="1052"/>
      <c r="Y45" s="1052"/>
      <c r="Z45" s="1052"/>
      <c r="AA45" s="1052"/>
      <c r="AB45" s="1052"/>
      <c r="AC45" s="1052"/>
      <c r="AD45" s="1095"/>
      <c r="AG45" s="1042"/>
      <c r="AH45" s="1052"/>
      <c r="AI45" s="1052"/>
      <c r="AJ45" s="1052"/>
      <c r="AK45" s="1052"/>
      <c r="AL45" s="1052"/>
      <c r="AM45" s="1052"/>
      <c r="AN45" s="1052"/>
      <c r="AO45" s="1095"/>
      <c r="AQ45" s="1042"/>
      <c r="AR45" s="1052"/>
      <c r="AS45" s="1052"/>
      <c r="AT45" s="1052"/>
      <c r="AU45" s="1052"/>
      <c r="AV45" s="1052"/>
      <c r="AW45" s="1052"/>
      <c r="AX45" s="1052"/>
      <c r="AY45" s="1052"/>
      <c r="AZ45" s="1095"/>
    </row>
    <row r="46" customHeight="1" spans="2:52">
      <c r="B46" s="1083"/>
      <c r="C46" s="1084"/>
      <c r="D46" s="1084"/>
      <c r="E46" s="1084"/>
      <c r="F46" s="1084"/>
      <c r="G46" s="1084"/>
      <c r="H46" s="1084"/>
      <c r="I46" s="1084"/>
      <c r="J46" s="1104"/>
      <c r="L46" s="1083"/>
      <c r="M46" s="1084"/>
      <c r="N46" s="1084"/>
      <c r="O46" s="1084"/>
      <c r="P46" s="1084"/>
      <c r="Q46" s="1084"/>
      <c r="R46" s="1084"/>
      <c r="S46" s="1084"/>
      <c r="T46" s="1104"/>
      <c r="V46" s="1083"/>
      <c r="W46" s="1084"/>
      <c r="X46" s="1084"/>
      <c r="Y46" s="1084"/>
      <c r="Z46" s="1084"/>
      <c r="AA46" s="1084"/>
      <c r="AB46" s="1084"/>
      <c r="AC46" s="1084"/>
      <c r="AD46" s="1104"/>
      <c r="AG46" s="1083"/>
      <c r="AH46" s="1084"/>
      <c r="AI46" s="1084"/>
      <c r="AJ46" s="1084"/>
      <c r="AK46" s="1084"/>
      <c r="AL46" s="1084"/>
      <c r="AM46" s="1084"/>
      <c r="AN46" s="1084"/>
      <c r="AO46" s="1104"/>
      <c r="AQ46" s="1083"/>
      <c r="AR46" s="1084"/>
      <c r="AS46" s="1084"/>
      <c r="AT46" s="1084"/>
      <c r="AU46" s="1084"/>
      <c r="AV46" s="1084"/>
      <c r="AW46" s="1084"/>
      <c r="AX46" s="1084"/>
      <c r="AY46" s="1084"/>
      <c r="AZ46" s="1104"/>
    </row>
    <row r="47" customHeight="1" spans="2:52">
      <c r="B47"/>
      <c r="C47"/>
      <c r="D47"/>
      <c r="E47"/>
      <c r="F47"/>
      <c r="G47" s="1085"/>
      <c r="H47"/>
      <c r="I47"/>
      <c r="J47"/>
      <c r="K47"/>
      <c r="L47"/>
      <c r="M47"/>
      <c r="N47"/>
      <c r="O47"/>
      <c r="P47"/>
      <c r="Q47" s="1085"/>
      <c r="R47"/>
      <c r="S47"/>
      <c r="T47"/>
      <c r="U47"/>
      <c r="V47"/>
      <c r="W47"/>
      <c r="X47"/>
      <c r="Y47"/>
      <c r="Z47"/>
      <c r="AA47" s="1085"/>
      <c r="AB47"/>
      <c r="AC47"/>
      <c r="AD47"/>
      <c r="AE47"/>
      <c r="AF47"/>
      <c r="AG47"/>
      <c r="AH47"/>
      <c r="AI47"/>
      <c r="AJ47"/>
      <c r="AK47"/>
      <c r="AL47" s="1085"/>
      <c r="AM47"/>
      <c r="AN47"/>
      <c r="AO47"/>
      <c r="AP47"/>
      <c r="AQ47"/>
      <c r="AR47"/>
      <c r="AS47"/>
      <c r="AT47"/>
      <c r="AU47"/>
      <c r="AV47"/>
      <c r="AW47" s="1085"/>
      <c r="AX47"/>
      <c r="AY47"/>
      <c r="AZ47"/>
    </row>
    <row r="48" customHeight="1" spans="1:52">
      <c r="A48" s="523"/>
      <c r="B48" s="488"/>
      <c r="C48" s="488"/>
      <c r="D48" s="488"/>
      <c r="E48" s="488"/>
      <c r="F48" s="488"/>
      <c r="G48" s="1086"/>
      <c r="H48" s="1086"/>
      <c r="I48" s="1086"/>
      <c r="J48" s="1086"/>
      <c r="K48" s="1086"/>
      <c r="L48" s="1086"/>
      <c r="M48" s="1105"/>
      <c r="N48" s="1105"/>
      <c r="O48" s="1105"/>
      <c r="P48" s="1105"/>
      <c r="Q48" s="1105"/>
      <c r="R48" s="1105"/>
      <c r="S48" s="1105"/>
      <c r="T48" s="1105"/>
      <c r="U48" s="1105"/>
      <c r="V48" s="1105"/>
      <c r="W48" s="1105"/>
      <c r="X48" s="1105"/>
      <c r="Y48" s="1105"/>
      <c r="Z48" s="1105"/>
      <c r="AA48" s="1140"/>
      <c r="AB48" s="1141" t="s">
        <v>19</v>
      </c>
      <c r="AC48" s="1141"/>
      <c r="AD48" s="1141"/>
      <c r="AE48" s="1141"/>
      <c r="AF48" s="1141"/>
      <c r="AG48" s="1141"/>
      <c r="AH48" s="1105"/>
      <c r="AI48" s="1105"/>
      <c r="AJ48" s="1105"/>
      <c r="AK48" s="1105"/>
      <c r="AL48" s="1105"/>
      <c r="AM48" s="1105"/>
      <c r="AN48" s="1105"/>
      <c r="AO48" s="1105"/>
      <c r="AP48" s="1105"/>
      <c r="AQ48" s="1105"/>
      <c r="AR48" s="1105"/>
      <c r="AS48" s="1105"/>
      <c r="AT48" s="1105"/>
      <c r="AU48" s="1105"/>
      <c r="AV48" s="1105"/>
      <c r="AW48"/>
      <c r="AX48"/>
      <c r="AY48"/>
      <c r="AZ48"/>
    </row>
    <row r="49" customHeight="1" spans="1:32">
      <c r="A49" s="523"/>
      <c r="B49" s="1087"/>
      <c r="C49" s="1088" t="b">
        <f>IF(AND(selezione_passo_descrizione_intervento="x",ImportoOneri_Nuovadif&gt;0),TRUE,FALSE)</f>
        <v>0</v>
      </c>
      <c r="D49" s="1088"/>
      <c r="E49" s="1088"/>
      <c r="F49" s="1088" t="b">
        <f>VLOOKUP(TRUE,$C$49:$E$54,1)</f>
        <v>0</v>
      </c>
      <c r="G49" s="1088"/>
      <c r="H49" s="1089"/>
      <c r="I49" s="659"/>
      <c r="J49" s="659"/>
      <c r="K49" s="1089"/>
      <c r="L49" s="1089"/>
      <c r="M49" s="1087"/>
      <c r="N49" s="1087"/>
      <c r="O49" s="1087"/>
      <c r="P49" s="1087"/>
      <c r="Q49" s="1087"/>
      <c r="R49" s="1087"/>
      <c r="U49" s="1103"/>
      <c r="AA49" s="1034"/>
      <c r="AB49" s="1035"/>
      <c r="AC49" s="1035"/>
      <c r="AD49" s="1035"/>
      <c r="AE49" s="1035"/>
      <c r="AF49" s="1142"/>
    </row>
    <row r="50" customHeight="1" spans="1:35">
      <c r="A50" s="523"/>
      <c r="B50" s="1087"/>
      <c r="C50" s="1088" t="b">
        <f>IF(AND(selezione_passo_descrizione_intervento="x",ImportoOneri_Ristrutt&gt;0),TRUE,FALSE)</f>
        <v>0</v>
      </c>
      <c r="D50" s="1088"/>
      <c r="E50" s="1088"/>
      <c r="F50" s="1088"/>
      <c r="G50" s="1088"/>
      <c r="H50" s="1089"/>
      <c r="I50" s="1087"/>
      <c r="J50" s="1089"/>
      <c r="K50" s="1089"/>
      <c r="L50" s="1089"/>
      <c r="M50" s="1087"/>
      <c r="N50" s="1087"/>
      <c r="O50" s="1087"/>
      <c r="P50" s="1087"/>
      <c r="Q50" s="1087"/>
      <c r="R50" s="1087"/>
      <c r="U50" s="1103"/>
      <c r="AA50" s="1143"/>
      <c r="AC50" s="1144" t="s">
        <v>20</v>
      </c>
      <c r="AD50" s="1145"/>
      <c r="AE50" s="1145"/>
      <c r="AF50" s="1145"/>
      <c r="AG50" s="1145"/>
      <c r="AH50" s="1174"/>
      <c r="AI50" s="1175"/>
    </row>
    <row r="51" customHeight="1" spans="1:35">
      <c r="A51" s="523"/>
      <c r="B51" s="1087"/>
      <c r="C51" s="1088" t="b">
        <f>IF(AND(selezione_passo_descrizione_intervento="x",ImportoOneriUrb1_NuovaDest&lt;&gt;0),TRUE,FALSE)</f>
        <v>0</v>
      </c>
      <c r="D51" s="1088"/>
      <c r="E51" s="1088"/>
      <c r="F51" s="1090"/>
      <c r="G51" s="1090"/>
      <c r="H51" s="1089"/>
      <c r="I51" s="1087"/>
      <c r="J51" s="1087"/>
      <c r="K51" s="1087"/>
      <c r="L51" s="1087"/>
      <c r="M51" s="1087"/>
      <c r="N51" s="1087"/>
      <c r="O51" s="1087"/>
      <c r="P51" s="1087"/>
      <c r="Q51" s="1087"/>
      <c r="R51" s="1087"/>
      <c r="U51" s="1121" t="s">
        <v>21</v>
      </c>
      <c r="V51" s="1121"/>
      <c r="W51" s="1121"/>
      <c r="X51" s="1121"/>
      <c r="Y51" s="1121"/>
      <c r="Z51" s="1146"/>
      <c r="AA51" s="1143"/>
      <c r="AC51" s="1147"/>
      <c r="AD51" s="1078"/>
      <c r="AE51" s="1078"/>
      <c r="AF51" s="1078"/>
      <c r="AG51" s="1078"/>
      <c r="AH51" s="1079"/>
      <c r="AI51" s="1176"/>
    </row>
    <row r="52" customHeight="1" spans="1:35">
      <c r="A52" s="523"/>
      <c r="B52" s="1087"/>
      <c r="C52" s="1088" t="b">
        <f>IF(AND(selezione_passo_descrizione_intervento="x",ImportoOneriUrb2_NuovaDest&lt;&gt;0),TRUE,FALSE)</f>
        <v>0</v>
      </c>
      <c r="D52" s="1088"/>
      <c r="E52" s="1088"/>
      <c r="F52" s="1090"/>
      <c r="G52" s="1090"/>
      <c r="H52" s="1089"/>
      <c r="I52" s="1087"/>
      <c r="J52" s="1087"/>
      <c r="K52" s="1087"/>
      <c r="L52" s="1087"/>
      <c r="M52" s="1087"/>
      <c r="N52" s="1087"/>
      <c r="O52" s="1087"/>
      <c r="P52" s="1087"/>
      <c r="Q52" s="1087"/>
      <c r="R52" s="1087"/>
      <c r="AA52" s="1143"/>
      <c r="AC52" s="1148"/>
      <c r="AD52" s="1149"/>
      <c r="AE52" s="1149"/>
      <c r="AF52" s="1149"/>
      <c r="AG52" s="1149"/>
      <c r="AH52" s="1177"/>
      <c r="AI52" s="1178"/>
    </row>
    <row r="53" customHeight="1" spans="1:32">
      <c r="A53" s="523"/>
      <c r="B53" s="1087"/>
      <c r="C53" s="1088" t="b">
        <f>IF(AND(selezione_passo_descrizione_intervento="x",ImportoOneriSmaltimentoRif&lt;&gt;0),TRUE,FALSE)</f>
        <v>0</v>
      </c>
      <c r="D53" s="1088"/>
      <c r="E53" s="1088"/>
      <c r="F53" s="1091"/>
      <c r="G53" s="1091"/>
      <c r="H53" s="1087"/>
      <c r="I53" s="1087"/>
      <c r="J53" s="1087"/>
      <c r="K53" s="1087"/>
      <c r="L53" s="1087"/>
      <c r="M53" s="1087"/>
      <c r="N53" s="1087"/>
      <c r="O53" s="1087"/>
      <c r="P53" s="1087"/>
      <c r="Q53" s="1087"/>
      <c r="R53" s="1087"/>
      <c r="AA53" s="1150"/>
      <c r="AF53" s="1151"/>
    </row>
    <row r="54" customHeight="1" spans="1:32">
      <c r="A54" s="523"/>
      <c r="B54" s="1087"/>
      <c r="C54" s="1088" t="b">
        <f>IF(AND(selezione_passo_descrizione_intervento="x",ImportoOneriSmaltRif_NuovaDest&lt;&gt;0),TRUE,FALSE)</f>
        <v>0</v>
      </c>
      <c r="D54" s="1088"/>
      <c r="E54" s="1088"/>
      <c r="F54" s="1091"/>
      <c r="G54" s="1091"/>
      <c r="H54" s="1087"/>
      <c r="I54" s="1087"/>
      <c r="J54" s="1087"/>
      <c r="K54" s="1087"/>
      <c r="L54" s="1087"/>
      <c r="M54" s="1087"/>
      <c r="N54" s="1087"/>
      <c r="O54" s="1087"/>
      <c r="P54" s="1087"/>
      <c r="Q54" s="1087"/>
      <c r="R54" s="1087"/>
      <c r="AA54" s="1034"/>
      <c r="AB54" s="1035"/>
      <c r="AC54" s="1035"/>
      <c r="AD54" s="1035"/>
      <c r="AE54" s="1035"/>
      <c r="AF54" s="1035"/>
    </row>
    <row r="55" ht="13.5" spans="1:32">
      <c r="A55" s="523"/>
      <c r="B55" s="1087"/>
      <c r="C55" s="1088" t="b">
        <f>IF(AND(selezione_passo_descrizione_intervento="x",ImportoOneri_RecSott&gt;0),TRUE,FALSE)</f>
        <v>0</v>
      </c>
      <c r="D55" s="1088"/>
      <c r="E55" s="1088"/>
      <c r="F55" s="1091"/>
      <c r="G55" s="1091"/>
      <c r="H55" s="1087"/>
      <c r="I55" s="1087"/>
      <c r="J55" s="1087"/>
      <c r="K55" s="1087"/>
      <c r="L55" s="1087"/>
      <c r="M55" s="1087"/>
      <c r="N55" s="1087"/>
      <c r="O55" s="1087"/>
      <c r="P55" s="1087"/>
      <c r="Q55" s="1087"/>
      <c r="R55" s="1087"/>
      <c r="U55" s="1122"/>
      <c r="V55" s="1123"/>
      <c r="W55" s="1035"/>
      <c r="X55" s="1035"/>
      <c r="Y55" s="1035"/>
      <c r="Z55" s="1035"/>
      <c r="AA55" s="1035"/>
      <c r="AB55" s="1035"/>
      <c r="AC55" s="1035"/>
      <c r="AD55" s="1152"/>
      <c r="AE55" s="1153"/>
      <c r="AF55" s="1122"/>
    </row>
    <row r="56" ht="13.5" customHeight="1" spans="1:34">
      <c r="A56" s="523"/>
      <c r="B56" s="1087"/>
      <c r="C56" s="1088" t="b">
        <f>IF(AND(selezione_passo_descrizione_intervento="x",ImportoOneri_CambioUso&gt;0),TRUE,FALSE)</f>
        <v>0</v>
      </c>
      <c r="D56" s="1088"/>
      <c r="E56" s="1088"/>
      <c r="F56" s="1091"/>
      <c r="G56" s="1091"/>
      <c r="H56" s="1087"/>
      <c r="I56" s="1087"/>
      <c r="J56" s="1087"/>
      <c r="K56" s="1087"/>
      <c r="L56" s="1087"/>
      <c r="M56" s="1087"/>
      <c r="N56" s="1087"/>
      <c r="O56" s="1087"/>
      <c r="P56" s="1087"/>
      <c r="Q56" s="1087"/>
      <c r="R56" s="1087"/>
      <c r="T56" s="1124" t="s">
        <v>22</v>
      </c>
      <c r="U56" s="1125"/>
      <c r="V56" s="1125"/>
      <c r="W56" s="1125"/>
      <c r="X56" s="1126"/>
      <c r="Y56" s="1154"/>
      <c r="AB56" s="1124" t="s">
        <v>23</v>
      </c>
      <c r="AC56" s="1125"/>
      <c r="AD56" s="1125"/>
      <c r="AE56" s="1125"/>
      <c r="AF56" s="1125"/>
      <c r="AG56" s="1126"/>
      <c r="AH56" s="1154"/>
    </row>
    <row r="57" spans="1:34">
      <c r="A57" s="523"/>
      <c r="B57" s="1087"/>
      <c r="C57" s="1088" t="b">
        <f>IF(AND(selezione_passo_descrizione_intervento="x",F57&gt;0),TRUE,FALSE)</f>
        <v>0</v>
      </c>
      <c r="D57" s="1088"/>
      <c r="E57" s="1088"/>
      <c r="F57" s="1088">
        <f>DetClasse_SupUtile+DetClasseEdificio_SupUtile</f>
        <v>0</v>
      </c>
      <c r="G57" s="1088"/>
      <c r="H57" s="1087"/>
      <c r="I57" s="1087"/>
      <c r="J57" s="1087"/>
      <c r="K57" s="1087"/>
      <c r="L57" s="1087"/>
      <c r="M57" s="1087"/>
      <c r="N57" s="1087"/>
      <c r="O57" s="1087"/>
      <c r="P57" s="1087"/>
      <c r="Q57" s="1087"/>
      <c r="R57" s="1087"/>
      <c r="T57" s="1127"/>
      <c r="U57" s="1047"/>
      <c r="V57" s="1047"/>
      <c r="W57" s="1047"/>
      <c r="X57" s="1128"/>
      <c r="Y57" s="1155"/>
      <c r="AB57" s="1127"/>
      <c r="AC57" s="1047"/>
      <c r="AD57" s="1047"/>
      <c r="AE57" s="1047"/>
      <c r="AF57" s="1047"/>
      <c r="AG57" s="1128"/>
      <c r="AH57" s="1155"/>
    </row>
    <row r="58" ht="13.5" spans="1:34">
      <c r="A58" s="523"/>
      <c r="B58" s="1087"/>
      <c r="C58" s="1088" t="b">
        <f ca="1">IF(AND(selezione_passo_descrizione_intervento="x",CostoCost_Nuov_Ampl_EscCorrisposto&gt;0),TRUE,FALSE)</f>
        <v>0</v>
      </c>
      <c r="D58" s="1088"/>
      <c r="E58" s="1088"/>
      <c r="F58" s="1088"/>
      <c r="G58" s="1088"/>
      <c r="H58" s="1087"/>
      <c r="I58" s="1087"/>
      <c r="J58" s="1087"/>
      <c r="K58" s="1087"/>
      <c r="L58" s="1087"/>
      <c r="M58" s="1087"/>
      <c r="N58" s="1087"/>
      <c r="O58" s="1087"/>
      <c r="P58" s="1087"/>
      <c r="Q58" s="1087"/>
      <c r="R58" s="1087"/>
      <c r="T58" s="1129"/>
      <c r="U58" s="1130"/>
      <c r="V58" s="1130"/>
      <c r="W58" s="1130"/>
      <c r="X58" s="1131"/>
      <c r="Y58" s="1156"/>
      <c r="AB58" s="1129"/>
      <c r="AC58" s="1130"/>
      <c r="AD58" s="1130"/>
      <c r="AE58" s="1130"/>
      <c r="AF58" s="1130"/>
      <c r="AG58" s="1131"/>
      <c r="AH58" s="1156"/>
    </row>
    <row r="59" ht="13.5" spans="1:18">
      <c r="A59" s="523"/>
      <c r="B59" s="1087"/>
      <c r="C59" s="1088" t="b">
        <f ca="1">IF(AND(selezione_passo_descrizione_intervento="x",CostoCost_Ristr_EscCorrisposto&gt;0),TRUE,FALSE)</f>
        <v>0</v>
      </c>
      <c r="D59" s="1088"/>
      <c r="E59" s="1088"/>
      <c r="F59" s="1091"/>
      <c r="G59" s="1091"/>
      <c r="H59" s="1087"/>
      <c r="I59" s="1087"/>
      <c r="J59" s="1087"/>
      <c r="K59" s="1087"/>
      <c r="L59" s="1087"/>
      <c r="M59" s="1087"/>
      <c r="N59" s="1087"/>
      <c r="O59" s="1087"/>
      <c r="P59" s="1087"/>
      <c r="Q59" s="1087"/>
      <c r="R59" s="1087"/>
    </row>
    <row r="60" hidden="1" spans="1:18">
      <c r="A60" s="523"/>
      <c r="B60" s="1087"/>
      <c r="C60" s="1088" t="b">
        <f ca="1">IF(AND(selezione_passo_descrizione_intervento="x",CostoCost_Sott_ContEscMagg&lt;&gt;0),TRUE,FALSE)</f>
        <v>0</v>
      </c>
      <c r="D60" s="1088"/>
      <c r="E60" s="1088"/>
      <c r="F60" s="1091"/>
      <c r="G60" s="1091"/>
      <c r="H60" s="1087"/>
      <c r="I60" s="1087"/>
      <c r="J60" s="1087"/>
      <c r="K60" s="1087"/>
      <c r="L60" s="1087"/>
      <c r="M60" s="1087"/>
      <c r="N60" s="1087"/>
      <c r="O60" s="1087"/>
      <c r="P60" s="1087"/>
      <c r="Q60" s="1087"/>
      <c r="R60" s="1087"/>
    </row>
    <row r="61" hidden="1" spans="1:18">
      <c r="A61" s="523"/>
      <c r="B61" s="1087"/>
      <c r="C61" s="1091"/>
      <c r="D61" s="1091"/>
      <c r="E61" s="1091"/>
      <c r="F61" s="1091"/>
      <c r="G61" s="1091"/>
      <c r="H61" s="1087"/>
      <c r="I61" s="1087"/>
      <c r="J61" s="1087"/>
      <c r="K61" s="1087"/>
      <c r="L61" s="1087"/>
      <c r="M61" s="1087"/>
      <c r="N61" s="1087"/>
      <c r="O61" s="1087"/>
      <c r="P61" s="1087"/>
      <c r="Q61" s="1087"/>
      <c r="R61" s="1087"/>
    </row>
    <row r="62" hidden="1" spans="1:18">
      <c r="A62" s="523"/>
      <c r="B62" s="1087"/>
      <c r="C62" s="1088" t="b">
        <f>IF(AND(selezione_passo_descrizione_intervento="x",Riepilogo_MonetizzAreeStand&gt;0),TRUE,FALSE)</f>
        <v>0</v>
      </c>
      <c r="D62" s="1088"/>
      <c r="E62" s="1088"/>
      <c r="F62" s="1088" t="b">
        <f>VLOOKUP(TRUE,$C$62:$E$63,1)</f>
        <v>0</v>
      </c>
      <c r="G62" s="1088"/>
      <c r="H62" s="1087"/>
      <c r="I62" s="1087"/>
      <c r="J62" s="1087"/>
      <c r="K62" s="1087"/>
      <c r="L62" s="1087"/>
      <c r="M62" s="1087"/>
      <c r="N62" s="1087"/>
      <c r="O62" s="1087"/>
      <c r="P62" s="1087"/>
      <c r="Q62" s="1087"/>
      <c r="R62" s="1087"/>
    </row>
    <row r="63" hidden="1" spans="1:18">
      <c r="A63" s="523"/>
      <c r="B63" s="1087"/>
      <c r="C63" s="1088" t="b">
        <f>IF(AND(selezione_passo_descrizione_intervento="x",Riepilogo_MonetizzParcheggi&gt;0),TRUE,FALSE)</f>
        <v>0</v>
      </c>
      <c r="D63" s="1088"/>
      <c r="E63" s="1088"/>
      <c r="F63" s="1091"/>
      <c r="G63" s="1091"/>
      <c r="H63" s="1087"/>
      <c r="I63" s="1087"/>
      <c r="J63" s="1087"/>
      <c r="K63" s="1087"/>
      <c r="L63" s="1087"/>
      <c r="M63" s="1087"/>
      <c r="N63" s="1087"/>
      <c r="O63" s="1087"/>
      <c r="P63" s="1087"/>
      <c r="Q63" s="1087"/>
      <c r="R63" s="1087"/>
    </row>
    <row r="64" hidden="1" spans="1:18">
      <c r="A64" s="523"/>
      <c r="B64" s="1087"/>
      <c r="C64" s="1091"/>
      <c r="D64" s="1091"/>
      <c r="E64" s="1091"/>
      <c r="F64" s="1091"/>
      <c r="G64" s="1091"/>
      <c r="H64" s="1087"/>
      <c r="I64" s="1087"/>
      <c r="J64" s="1087"/>
      <c r="K64" s="1087"/>
      <c r="L64" s="1087"/>
      <c r="M64" s="1087"/>
      <c r="N64" s="1087"/>
      <c r="O64" s="1087"/>
      <c r="P64" s="1087"/>
      <c r="Q64" s="1087"/>
      <c r="R64" s="1087"/>
    </row>
    <row r="65" hidden="1" spans="1:18">
      <c r="A65" s="523"/>
      <c r="B65" s="1087"/>
      <c r="C65" s="1088" t="b">
        <f>IF(AND(selezione_passo_descrizione_intervento="x",CostoCostStatoFatto_ContributoDovuto&lt;&gt;0),TRUE,FALSE)</f>
        <v>0</v>
      </c>
      <c r="D65" s="1088"/>
      <c r="E65" s="1088"/>
      <c r="F65" s="1091"/>
      <c r="G65" s="1091"/>
      <c r="H65" s="1087"/>
      <c r="I65" s="1087"/>
      <c r="J65" s="1087"/>
      <c r="K65" s="1087"/>
      <c r="L65" s="1087"/>
      <c r="M65" s="1087"/>
      <c r="N65" s="1087"/>
      <c r="O65" s="1087"/>
      <c r="P65" s="1087"/>
      <c r="Q65" s="1087"/>
      <c r="R65" s="1087"/>
    </row>
    <row r="66" hidden="1" spans="1:18">
      <c r="A66" s="523"/>
      <c r="B66" s="1087"/>
      <c r="C66" s="1088" t="b">
        <f>IF(AND(selezione_passo_descrizione_intervento="x",CostoCostProg_ContributoDovuto&gt;0),TRUE,FALSE)</f>
        <v>0</v>
      </c>
      <c r="D66" s="1088"/>
      <c r="E66" s="1088"/>
      <c r="F66" s="1091"/>
      <c r="G66" s="1091"/>
      <c r="H66" s="1087"/>
      <c r="I66" s="1087"/>
      <c r="J66" s="1087"/>
      <c r="K66" s="1087"/>
      <c r="L66" s="1087"/>
      <c r="M66" s="1087"/>
      <c r="N66" s="1087"/>
      <c r="O66" s="1087"/>
      <c r="P66" s="1087"/>
      <c r="Q66" s="1087"/>
      <c r="R66" s="1087"/>
    </row>
    <row r="67" hidden="1" spans="1:18">
      <c r="A67" s="523"/>
      <c r="B67" s="1087"/>
      <c r="C67" s="1091"/>
      <c r="D67" s="1091"/>
      <c r="E67" s="1091"/>
      <c r="F67" s="1091"/>
      <c r="G67" s="1091"/>
      <c r="H67" s="1087"/>
      <c r="I67" s="1087"/>
      <c r="J67" s="1087"/>
      <c r="K67" s="1087"/>
      <c r="L67" s="1087"/>
      <c r="M67" s="1087"/>
      <c r="N67" s="1087"/>
      <c r="O67" s="1087"/>
      <c r="P67" s="1087"/>
      <c r="Q67" s="1087"/>
      <c r="R67" s="1087"/>
    </row>
    <row r="68" hidden="1" spans="1:18">
      <c r="A68" s="523"/>
      <c r="B68" s="1087"/>
      <c r="C68" s="1088" t="b">
        <f>IF(AND(selezione_passo_descrizione_intervento="x",Volume_Recupero_Sottotetti&gt;0),TRUE,FALSE)</f>
        <v>0</v>
      </c>
      <c r="D68" s="1088"/>
      <c r="E68" s="1088"/>
      <c r="F68" s="1088"/>
      <c r="G68" s="1088"/>
      <c r="H68" s="1087"/>
      <c r="I68" s="1087"/>
      <c r="J68" s="1087"/>
      <c r="K68" s="1087"/>
      <c r="L68" s="1087"/>
      <c r="M68" s="1087"/>
      <c r="N68" s="1087"/>
      <c r="O68" s="1087"/>
      <c r="P68" s="1087"/>
      <c r="Q68" s="1087"/>
      <c r="R68" s="1087"/>
    </row>
    <row r="69" hidden="1" spans="1:18">
      <c r="A69" s="523"/>
      <c r="B69" s="1087"/>
      <c r="C69" s="1087"/>
      <c r="D69" s="1087"/>
      <c r="E69" s="1087"/>
      <c r="F69" s="1087"/>
      <c r="G69" s="1087"/>
      <c r="H69" s="1087"/>
      <c r="I69" s="1087"/>
      <c r="J69" s="1087"/>
      <c r="K69" s="1087"/>
      <c r="L69" s="1087"/>
      <c r="M69" s="1087"/>
      <c r="N69" s="1087"/>
      <c r="O69" s="1087"/>
      <c r="P69" s="1087"/>
      <c r="Q69" s="1087"/>
      <c r="R69" s="1087"/>
    </row>
    <row r="70" hidden="1" spans="1:18">
      <c r="A70" s="523"/>
      <c r="B70" s="1087"/>
      <c r="C70" s="1087"/>
      <c r="D70" s="1087"/>
      <c r="E70" s="1087"/>
      <c r="F70" s="1087"/>
      <c r="G70" s="1087"/>
      <c r="H70" s="1087"/>
      <c r="I70" s="1087"/>
      <c r="J70" s="1087"/>
      <c r="K70" s="1087"/>
      <c r="L70" s="1087"/>
      <c r="M70" s="1087"/>
      <c r="N70" s="1087"/>
      <c r="O70" s="1087"/>
      <c r="P70" s="1087"/>
      <c r="Q70" s="1087"/>
      <c r="R70" s="1087"/>
    </row>
    <row r="71" hidden="1" spans="1:18">
      <c r="A71" s="523"/>
      <c r="B71" s="1087"/>
      <c r="C71" s="1087"/>
      <c r="D71" s="1087"/>
      <c r="E71" s="1087"/>
      <c r="F71" s="1087"/>
      <c r="G71" s="1087"/>
      <c r="H71" s="1087"/>
      <c r="I71" s="1087"/>
      <c r="J71" s="1087"/>
      <c r="K71" s="1087"/>
      <c r="L71" s="1087"/>
      <c r="M71" s="1087"/>
      <c r="N71" s="1087"/>
      <c r="O71" s="1087"/>
      <c r="P71" s="1087"/>
      <c r="Q71" s="1087"/>
      <c r="R71" s="1087"/>
    </row>
    <row r="72" hidden="1" spans="1:18">
      <c r="A72" s="523"/>
      <c r="B72" s="1087"/>
      <c r="C72" s="1087"/>
      <c r="D72" s="1087"/>
      <c r="E72" s="1087"/>
      <c r="F72" s="1087"/>
      <c r="G72" s="1087"/>
      <c r="H72" s="1087"/>
      <c r="I72" s="1087"/>
      <c r="J72" s="1087"/>
      <c r="K72" s="1087"/>
      <c r="L72" s="1087"/>
      <c r="M72" s="1087"/>
      <c r="N72" s="1087"/>
      <c r="O72" s="1087"/>
      <c r="P72" s="1087"/>
      <c r="Q72" s="1087"/>
      <c r="R72" s="1087"/>
    </row>
    <row r="73" hidden="1" spans="1:18">
      <c r="A73" s="523"/>
      <c r="B73" s="1087"/>
      <c r="C73" s="1087"/>
      <c r="D73" s="1087"/>
      <c r="E73" s="1087"/>
      <c r="F73" s="1087"/>
      <c r="G73" s="1087"/>
      <c r="H73" s="1087"/>
      <c r="I73" s="1087"/>
      <c r="J73" s="1087"/>
      <c r="K73" s="1087"/>
      <c r="L73" s="1087"/>
      <c r="M73" s="1087"/>
      <c r="N73" s="1087"/>
      <c r="O73" s="1087"/>
      <c r="P73" s="1087"/>
      <c r="Q73" s="1087"/>
      <c r="R73" s="1087"/>
    </row>
    <row r="74" hidden="1" spans="1:18">
      <c r="A74" s="523"/>
      <c r="B74" s="1087"/>
      <c r="C74" s="1087"/>
      <c r="D74" s="1087"/>
      <c r="E74" s="1087"/>
      <c r="F74" s="1087"/>
      <c r="G74" s="1087"/>
      <c r="H74" s="1087"/>
      <c r="I74" s="1087"/>
      <c r="J74" s="1087"/>
      <c r="K74" s="1087"/>
      <c r="L74" s="1087"/>
      <c r="M74" s="1087"/>
      <c r="N74" s="1087"/>
      <c r="O74" s="1087"/>
      <c r="P74" s="1087"/>
      <c r="Q74" s="1087"/>
      <c r="R74" s="1087"/>
    </row>
    <row r="75" hidden="1" spans="2:18">
      <c r="B75" s="1087"/>
      <c r="C75" s="1087"/>
      <c r="D75" s="1087"/>
      <c r="E75" s="1087"/>
      <c r="F75" s="1087"/>
      <c r="G75" s="1087"/>
      <c r="H75" s="1087"/>
      <c r="I75" s="1087"/>
      <c r="J75" s="1087"/>
      <c r="K75" s="1087"/>
      <c r="L75" s="1087"/>
      <c r="M75" s="1087"/>
      <c r="N75" s="1087"/>
      <c r="O75" s="1087"/>
      <c r="P75" s="1087"/>
      <c r="Q75" s="1087"/>
      <c r="R75" s="1087"/>
    </row>
  </sheetData>
  <sheetProtection password="83CC" sheet="1" formatColumns="0" formatRows="0" insertRows="0" objects="1" scenarios="1"/>
  <mergeCells count="71">
    <mergeCell ref="AB48:AG48"/>
    <mergeCell ref="C49:E49"/>
    <mergeCell ref="F49:G49"/>
    <mergeCell ref="I49:J49"/>
    <mergeCell ref="C50:E50"/>
    <mergeCell ref="F50:G50"/>
    <mergeCell ref="C51:E51"/>
    <mergeCell ref="U51:Z51"/>
    <mergeCell ref="C52:E52"/>
    <mergeCell ref="C53:E53"/>
    <mergeCell ref="C54:E54"/>
    <mergeCell ref="C55:E55"/>
    <mergeCell ref="C56:E56"/>
    <mergeCell ref="C57:E57"/>
    <mergeCell ref="F57:G57"/>
    <mergeCell ref="C58:E58"/>
    <mergeCell ref="F58:G58"/>
    <mergeCell ref="C59:E59"/>
    <mergeCell ref="C60:E60"/>
    <mergeCell ref="C62:E62"/>
    <mergeCell ref="F62:G62"/>
    <mergeCell ref="C63:E63"/>
    <mergeCell ref="C65:E65"/>
    <mergeCell ref="C66:E66"/>
    <mergeCell ref="C68:E68"/>
    <mergeCell ref="F68:G68"/>
    <mergeCell ref="B8:B9"/>
    <mergeCell ref="L8:L9"/>
    <mergeCell ref="V8:V9"/>
    <mergeCell ref="W3:W5"/>
    <mergeCell ref="AG8:AG9"/>
    <mergeCell ref="AQ8:AQ9"/>
    <mergeCell ref="T56:W58"/>
    <mergeCell ref="AB56:AF58"/>
    <mergeCell ref="AC50:AG52"/>
    <mergeCell ref="C11:G13"/>
    <mergeCell ref="W11:AA13"/>
    <mergeCell ref="D23:G25"/>
    <mergeCell ref="X23:AA25"/>
    <mergeCell ref="D27:G29"/>
    <mergeCell ref="X27:AA29"/>
    <mergeCell ref="X35:AA37"/>
    <mergeCell ref="X39:AA41"/>
    <mergeCell ref="W31:AC33"/>
    <mergeCell ref="W15:AC17"/>
    <mergeCell ref="D19:G21"/>
    <mergeCell ref="X19:AA21"/>
    <mergeCell ref="AR15:AW17"/>
    <mergeCell ref="AI27:AL29"/>
    <mergeCell ref="AH31:AL33"/>
    <mergeCell ref="AH35:AL37"/>
    <mergeCell ref="AR11:AY13"/>
    <mergeCell ref="M15:S17"/>
    <mergeCell ref="AH15:AN17"/>
    <mergeCell ref="M11:S13"/>
    <mergeCell ref="AH11:AN13"/>
    <mergeCell ref="AI19:AL21"/>
    <mergeCell ref="AI23:AL25"/>
    <mergeCell ref="X3:AB5"/>
    <mergeCell ref="W8:AD9"/>
    <mergeCell ref="AH8:AO9"/>
    <mergeCell ref="M8:T9"/>
    <mergeCell ref="C8:J9"/>
    <mergeCell ref="AR8:AZ9"/>
    <mergeCell ref="B1:U5"/>
    <mergeCell ref="C31:G33"/>
    <mergeCell ref="M31:Q33"/>
    <mergeCell ref="N23:Q25"/>
    <mergeCell ref="N27:Q29"/>
    <mergeCell ref="C15:I17"/>
    <mergeCell ref="N19:Q21"/>
  </mergeCells>
  <conditionalFormatting sqref="B8:B9">
    <cfRule type="expression" dxfId="0" priority="237" stopIfTrue="1">
      <formula>AND(selezione_passo_descrizione_intervento="x",selezione_nuova_costruzione="o")</formula>
    </cfRule>
  </conditionalFormatting>
  <conditionalFormatting sqref="L8:L9">
    <cfRule type="expression" dxfId="0" priority="111" stopIfTrue="1">
      <formula>AND(selezione_passo_descrizione_intervento="x",selezione_ampliamento="o")</formula>
    </cfRule>
  </conditionalFormatting>
  <conditionalFormatting sqref="V8:V9">
    <cfRule type="expression" dxfId="0" priority="236" stopIfTrue="1">
      <formula>AND(selezione_passo_descrizione_intervento="x",selezione_ristrutturazione="o")</formula>
    </cfRule>
  </conditionalFormatting>
  <conditionalFormatting sqref="AG8:AG9">
    <cfRule type="expression" dxfId="0" priority="235" stopIfTrue="1">
      <formula>AND(selezione_passo_descrizione_intervento="x",selezione_sottotetti="o")</formula>
    </cfRule>
  </conditionalFormatting>
  <conditionalFormatting sqref="AQ8:AQ9">
    <cfRule type="expression" dxfId="0" priority="234" stopIfTrue="1">
      <formula>AND(selezione_passo_descrizione_intervento="x",selezione_cambio_uso="o")</formula>
    </cfRule>
  </conditionalFormatting>
  <conditionalFormatting sqref="W3:AC5">
    <cfRule type="expression" dxfId="1" priority="74" stopIfTrue="1">
      <formula>selezione_passo_descrizione_intervento="x"</formula>
    </cfRule>
  </conditionalFormatting>
  <conditionalFormatting sqref="C11;H11:I13">
    <cfRule type="expression" dxfId="1" priority="22" stopIfTrue="1">
      <formula>AND(selezione_nuova_costruzione="x",$C$49=TRUE)</formula>
    </cfRule>
    <cfRule type="expression" dxfId="2" priority="23" stopIfTrue="1">
      <formula>AND(selezione_passo_descrizione_intervento="x",selezione_nuova_costruzione="x")</formula>
    </cfRule>
  </conditionalFormatting>
  <conditionalFormatting sqref="M11:S13">
    <cfRule type="expression" dxfId="1" priority="24" stopIfTrue="1">
      <formula>AND(selezione_ampliamento="x",$C$49=TRUE)</formula>
    </cfRule>
    <cfRule type="expression" dxfId="2" priority="25" stopIfTrue="1">
      <formula>AND(selezione_passo_descrizione_intervento="x",selezione_ampliamento="x")</formula>
    </cfRule>
  </conditionalFormatting>
  <conditionalFormatting sqref="W11;AB11:AC13">
    <cfRule type="expression" dxfId="1" priority="20" stopIfTrue="1">
      <formula>AND(selezione_ristrutturazione="X",$C$50=TRUE)</formula>
    </cfRule>
    <cfRule type="expression" dxfId="2" priority="21" stopIfTrue="1">
      <formula>AND(selezione_passo_descrizione_intervento="x",selezione_ristrutturazione="x")</formula>
    </cfRule>
  </conditionalFormatting>
  <conditionalFormatting sqref="AH11:AN13">
    <cfRule type="expression" dxfId="1" priority="18" stopIfTrue="1">
      <formula>AND(selezione_sottotetti="x",$C$55=TRUE)</formula>
    </cfRule>
    <cfRule type="expression" dxfId="2" priority="19" stopIfTrue="1">
      <formula>AND(selezione_passo_descrizione_intervento="x",selezione_sottotetti="x")</formula>
    </cfRule>
  </conditionalFormatting>
  <conditionalFormatting sqref="AR11:AY13">
    <cfRule type="expression" dxfId="1" priority="16" stopIfTrue="1">
      <formula>AND(selezione_cambio_uso="x",$C$56=TRUE)</formula>
    </cfRule>
    <cfRule type="expression" dxfId="2" priority="17" stopIfTrue="1">
      <formula>AND(selezione_passo_descrizione_intervento="x",selezione_cambio_uso="x")</formula>
    </cfRule>
  </conditionalFormatting>
  <conditionalFormatting sqref="AR15;AX15:AY17">
    <cfRule type="expression" dxfId="1" priority="26" stopIfTrue="1">
      <formula>IF(selezione_cambio_uso="x",$F$62=TRUE)</formula>
    </cfRule>
    <cfRule type="expression" dxfId="2" priority="249" stopIfTrue="1">
      <formula>AND(selezione_passo_descrizione_intervento="x",selezione_cambio_uso="x")</formula>
    </cfRule>
  </conditionalFormatting>
  <conditionalFormatting sqref="D19;H19:H21">
    <cfRule type="expression" dxfId="1" priority="9" stopIfTrue="1">
      <formula>AND(selezione_nuova_costruzione="x",COUNTIF(elenco_riepilogo_sua_snr,"&gt;0"))</formula>
    </cfRule>
    <cfRule type="expression" dxfId="2" priority="10" stopIfTrue="1">
      <formula>AND(selezione_passo_descrizione_intervento="x",selezione_nuova_costruzione="x")</formula>
    </cfRule>
  </conditionalFormatting>
  <conditionalFormatting sqref="N19;R19:R21">
    <cfRule type="expression" dxfId="1" priority="7" stopIfTrue="1">
      <formula>AND(selezione_ampliamento="x",COUNTIF(elenco_riepilogo_sua_snr,"&gt;0"))</formula>
    </cfRule>
    <cfRule type="expression" dxfId="2" priority="8" stopIfTrue="1">
      <formula>AND(selezione_passo_descrizione_intervento="x",selezione_ampliamento="x")</formula>
    </cfRule>
  </conditionalFormatting>
  <conditionalFormatting sqref="X19;AB19:AB21">
    <cfRule type="expression" dxfId="1" priority="5" stopIfTrue="1">
      <formula>AND(selezione_ristrutturazione="x",COUNTIF(elenco_riepilogo_sua_snr,"&gt;0"))</formula>
    </cfRule>
    <cfRule type="expression" dxfId="2" priority="6" stopIfTrue="1">
      <formula>AND(selezione_passo_descrizione_intervento="x",selezione_ristrutturazione="x")</formula>
    </cfRule>
  </conditionalFormatting>
  <conditionalFormatting sqref="AI19;AM19:AM21">
    <cfRule type="expression" dxfId="1" priority="3" stopIfTrue="1">
      <formula>AND(selezione_sottotetti="x",COUNTIF(elenco_riepilogo_sua_snr,"&gt;0"))</formula>
    </cfRule>
    <cfRule type="expression" dxfId="2" priority="4" stopIfTrue="1">
      <formula>AND(selezione_passo_descrizione_intervento="x",selezione_sottotetti="x")</formula>
    </cfRule>
  </conditionalFormatting>
  <conditionalFormatting sqref="D23;H23:H25">
    <cfRule type="expression" dxfId="1" priority="48" stopIfTrue="1">
      <formula>AND(selezione_nuova_costruzione="x",FormulaHide1&gt;0)</formula>
    </cfRule>
    <cfRule type="expression" dxfId="2" priority="238" stopIfTrue="1">
      <formula>AND(selezione_passo_descrizione_intervento="x",selezione_nuova_costruzione="x")</formula>
    </cfRule>
  </conditionalFormatting>
  <conditionalFormatting sqref="N23;R23:R25">
    <cfRule type="expression" dxfId="1" priority="44" stopIfTrue="1">
      <formula>AND(selezione_ampliamento="x",FormulaHide1&gt;0)</formula>
    </cfRule>
    <cfRule type="expression" dxfId="2" priority="239" stopIfTrue="1">
      <formula>AND(selezione_passo_descrizione_intervento="x",selezione_ampliamento="x")</formula>
    </cfRule>
  </conditionalFormatting>
  <conditionalFormatting sqref="X23;AB23:AB25">
    <cfRule type="expression" dxfId="1" priority="40" stopIfTrue="1">
      <formula>AND(selezione_ristrutturazione="x",FormulaHide1&gt;0)</formula>
    </cfRule>
    <cfRule type="expression" dxfId="2" priority="240" stopIfTrue="1">
      <formula>AND(selezione_passo_descrizione_intervento="x",selezione_ristrutturazione="x")</formula>
    </cfRule>
  </conditionalFormatting>
  <conditionalFormatting sqref="AI23;AM23:AM25">
    <cfRule type="expression" dxfId="1" priority="35" stopIfTrue="1">
      <formula>AND(selezione_sottotetti="x",FormulaHide1&gt;0)</formula>
    </cfRule>
    <cfRule type="expression" dxfId="2" priority="241" stopIfTrue="1">
      <formula>AND(selezione_passo_descrizione_intervento="x",selezione_sottotetti="x")</formula>
    </cfRule>
  </conditionalFormatting>
  <conditionalFormatting sqref="D27;H27:H29">
    <cfRule type="expression" dxfId="1" priority="47" stopIfTrue="1">
      <formula>AND(selezione_nuova_costruzione="x",$C$58=TRUE)</formula>
    </cfRule>
    <cfRule type="expression" dxfId="2" priority="243" stopIfTrue="1">
      <formula>AND(selezione_passo_descrizione_intervento="x",selezione_nuova_costruzione="x")</formula>
    </cfRule>
  </conditionalFormatting>
  <conditionalFormatting sqref="N27;R27:R29">
    <cfRule type="expression" dxfId="1" priority="43" stopIfTrue="1">
      <formula>IF(selezione_ampliamento="x",$C$59=TRUE)</formula>
    </cfRule>
    <cfRule type="expression" dxfId="2" priority="245" stopIfTrue="1">
      <formula>AND(selezione_passo_descrizione_intervento="x",selezione_ampliamento="x")</formula>
    </cfRule>
  </conditionalFormatting>
  <conditionalFormatting sqref="X27:AB29">
    <cfRule type="expression" dxfId="1" priority="11" stopIfTrue="1">
      <formula>IF(selezione_ristrutturazione="x",$C$59=TRUE)</formula>
    </cfRule>
    <cfRule type="expression" dxfId="2" priority="12" stopIfTrue="1">
      <formula>AND(selezione_passo_descrizione_intervento="x",selezione_ristrutturazione="x")</formula>
    </cfRule>
  </conditionalFormatting>
  <conditionalFormatting sqref="AI27;AM27:AM29">
    <cfRule type="expression" dxfId="1" priority="34" stopIfTrue="1">
      <formula>AND(selezione_sottotetti="x",$C$60=TRUE)</formula>
    </cfRule>
    <cfRule type="expression" dxfId="2" priority="60" stopIfTrue="1">
      <formula>AND(selezione_passo_descrizione_intervento="x",selezione_sottotetti="x")</formula>
    </cfRule>
  </conditionalFormatting>
  <conditionalFormatting sqref="C31;H31:I33">
    <cfRule type="expression" dxfId="1" priority="46" stopIfTrue="1">
      <formula>AND(selezione_nuova_costruzione="x",$F$62=TRUE)</formula>
    </cfRule>
    <cfRule type="expression" dxfId="2" priority="246" stopIfTrue="1">
      <formula>AND(selezione_passo_descrizione_intervento="x",selezione_nuova_costruzione="x")</formula>
    </cfRule>
  </conditionalFormatting>
  <conditionalFormatting sqref="M31;R31:S33">
    <cfRule type="expression" dxfId="1" priority="42" stopIfTrue="1">
      <formula>IF(selezione_ampliamento="x",$F$62=TRUE)</formula>
    </cfRule>
    <cfRule type="expression" dxfId="2" priority="247" stopIfTrue="1">
      <formula>AND(selezione_passo_descrizione_intervento="x",selezione_ampliamento="x")</formula>
    </cfRule>
  </conditionalFormatting>
  <conditionalFormatting sqref="AH31;AM31:AN33">
    <cfRule type="expression" dxfId="1" priority="33" stopIfTrue="1">
      <formula>AND(selezione_sottotetti="x",$C$68,TRUE)</formula>
    </cfRule>
    <cfRule type="expression" dxfId="2" priority="50" stopIfTrue="1">
      <formula>AND(selezione_passo_descrizione_intervento="x",selezione_sottotetti="x")</formula>
    </cfRule>
  </conditionalFormatting>
  <conditionalFormatting sqref="X35;AB35:AB37">
    <cfRule type="expression" dxfId="1" priority="38" stopIfTrue="1">
      <formula>AND(selezione_ristrutturazione="x",$C$65,TRUE)</formula>
    </cfRule>
    <cfRule type="expression" dxfId="2" priority="55" stopIfTrue="1">
      <formula>AND(selezione_passo_descrizione_intervento="x",selezione_ristrutturazione="x")</formula>
    </cfRule>
  </conditionalFormatting>
  <conditionalFormatting sqref="AH35;AM35:AN37">
    <cfRule type="expression" dxfId="1" priority="32" stopIfTrue="1">
      <formula>IF(selezione_sottotetti="x",$F$62=TRUE)</formula>
    </cfRule>
    <cfRule type="expression" dxfId="2" priority="248" stopIfTrue="1">
      <formula>AND(selezione_passo_descrizione_intervento="x",selezione_sottotetti="x")</formula>
    </cfRule>
  </conditionalFormatting>
  <conditionalFormatting sqref="X39;AB39:AB41">
    <cfRule type="expression" dxfId="1" priority="37" stopIfTrue="1">
      <formula>AND(selezione_ristrutturazione="x",$C$66,TRUE)</formula>
    </cfRule>
    <cfRule type="expression" dxfId="2" priority="54" stopIfTrue="1">
      <formula>AND(selezione_passo_descrizione_intervento="x",selezione_ristrutturazione="x")</formula>
    </cfRule>
  </conditionalFormatting>
  <conditionalFormatting sqref="AC50:AI52">
    <cfRule type="expression" dxfId="1" priority="76" stopIfTrue="1">
      <formula>AND(Rateizzazione_ImportoFidejussione&gt;0,Rateizzazione_ScadenzaFidejussione&gt;0)</formula>
    </cfRule>
  </conditionalFormatting>
  <dataValidations count="2">
    <dataValidation type="list" allowBlank="1" showInputMessage="1" showErrorMessage="1" sqref="AA6 V8:V9 W3:W5 AG8:AG9 AQ8:AQ9 AQ25:AQ26">
      <formula1>opzioni</formula1>
    </dataValidation>
    <dataValidation type="list" allowBlank="1" showInputMessage="1" showErrorMessage="1" sqref="B8:B9 L8:L9">
      <formula1>opzioni</formula1>
    </dataValidation>
  </dataValidations>
  <hyperlinks>
    <hyperlink ref="M11:S13" location="'Descrizione dell''intervento'!A1" display="Calcola gli oneri di urbanizzazione"/>
    <hyperlink ref="AH11:AN13" location="'Descrizione dell''intervento'!A1" display="Calcola gli oneri di urbanizzazione"/>
    <hyperlink ref="AR11:AY13" location="'Descrizione dell''intervento'!A1" display="Calcola gli  oneri di urbanizzazione"/>
    <hyperlink ref="C11:G13" location="'Descrizione dell''intervento'!A1" display="Calcola gli oneri di urbanizzazione"/>
    <hyperlink ref="D23:G25" location="'Determinazione classe'!A1" display="Determina la classe dell'edificio"/>
    <hyperlink ref="D27:G29" location="'Costo Costruzione'!A1" display="Calcola il costo di costruzione"/>
    <hyperlink ref="C31:G33" location="link_monetizzazione_standards" display="Calcola la monetizzazione"/>
    <hyperlink ref="N23:Q25" location="'Determinazione classe'!A1" display="Determina la classe dell'edificio"/>
    <hyperlink ref="N27:Q29" location="'Costo Costruzione'!A1" display="Calcola il costo di costruzione"/>
    <hyperlink ref="M31:Q33" location="link_monetizzazione_standards" display="Calcola la monetizzazione"/>
    <hyperlink ref="W11:AA13" location="'Descrizione dell''intervento'!A1" display="Calcola gli oneri di urbanizzazione"/>
    <hyperlink ref="X23:AA25" location="'Determinazione classe'!A1" display="Determina la classe dell'edificio"/>
    <hyperlink ref="X27:AA29" location="'Costo Costruzione'!A1" display="Calcola il costo di costruzione"/>
    <hyperlink ref="X35:AA37" location="'Costo costruzione statofatto'!A1" display="Costo per lo stato di fatto"/>
    <hyperlink ref="X39:AA41" location="'Costo costruzione progetto'!A1" display="Costo per lo stato di progetto"/>
    <hyperlink ref="AI23:AL25" location="'Determinazione classe'!A1" display="Determina la classe dell'edificio"/>
    <hyperlink ref="AI27:AL29" location="'Costo Costruzione'!A1" display="Calcola il costo di costruzione"/>
    <hyperlink ref="AH31:AL33" location="'Calcolo superficie parcheggio'!A1" display="Calcola la superficie da adibire a parcheggi"/>
    <hyperlink ref="AH35:AL37" location="link_monetizzazione_standards" display="Calcola la monetizzazione"/>
    <hyperlink ref="AR15:AW17" location="link_monetizzazione_standards" display="Calcola la monetizzazione"/>
    <hyperlink ref="T56:W58" location="'Riepilogo generale'!A1" display="Visualizza il riepilogo generale"/>
    <hyperlink ref="AB56:AF58" location="'Riepilogo oneri e costi'!A1" display="Visualizza il riepilogo analitico degli oneri e costi"/>
    <hyperlink ref="D19:G21" location="'Determinazione classe'!A1" display="Calcola le superfici dell'edificio"/>
    <hyperlink ref="N19:Q21" location="'Determinazione classe'!A1" display="Calcola le superfici dell'edificio"/>
    <hyperlink ref="X19:AA21" location="'Determinazione classe'!A1" display="Calcola le superfici dell'edificio"/>
    <hyperlink ref="AI19:AL21" location="'Determinazione classe'!A1" display="Calcola le superfici dell'edificio"/>
    <hyperlink ref="D19:H21" location="'Calcolo superfici edificio'!A1" display="Calcola le superfici dell'edificio"/>
    <hyperlink ref="N19:R21" location="'Calcolo superfici edificio'!A1" display="Calcola le superfici dell'edificio"/>
    <hyperlink ref="X19:AB21" location="'Calcolo superfici edificio'!A1" display="Calcola le superfici dell'edificio"/>
    <hyperlink ref="AI19:AM21" location="'Calcolo superfici edificio'!A1" display="Calcola le superfici dell'edificio"/>
  </hyperlinks>
  <pageMargins left="0.118110236220472" right="0.196850393700787" top="0.551181102362205" bottom="0.15748031496063" header="0.31496062992126" footer="0.31496062992126"/>
  <pageSetup paperSize="9" scale="74" orientation="landscape"/>
  <headerFooter/>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66"/>
  </sheetPr>
  <dimension ref="A1:F24"/>
  <sheetViews>
    <sheetView showGridLines="0" workbookViewId="0">
      <selection activeCell="A1" sqref="A1"/>
    </sheetView>
  </sheetViews>
  <sheetFormatPr defaultColWidth="0" defaultRowHeight="12.75" zeroHeight="1" outlineLevelCol="5"/>
  <cols>
    <col min="1" max="1" width="5.71428571428571" customWidth="1"/>
    <col min="2" max="2" width="7.71428571428571" customWidth="1"/>
    <col min="3" max="4" width="15.7142857142857" customWidth="1"/>
    <col min="5" max="5" width="18.7142857142857" customWidth="1"/>
    <col min="6" max="6" width="9.14285714285714" hidden="1" customWidth="1"/>
    <col min="7" max="255" width="0" hidden="1" customWidth="1"/>
    <col min="256" max="16384" width="11.4285714285714" hidden="1"/>
  </cols>
  <sheetData>
    <row r="1"/>
    <row r="2" ht="45" customHeight="1" spans="1:6">
      <c r="A2" s="203"/>
      <c r="B2" s="204" t="s">
        <v>298</v>
      </c>
      <c r="C2" s="204"/>
      <c r="D2" s="204"/>
      <c r="E2" s="203"/>
      <c r="F2" s="203"/>
    </row>
    <row r="3" ht="38.25" spans="2:5">
      <c r="B3" s="205" t="s">
        <v>299</v>
      </c>
      <c r="C3" s="206" t="s">
        <v>300</v>
      </c>
      <c r="D3" s="207" t="s">
        <v>301</v>
      </c>
      <c r="E3" s="98"/>
    </row>
    <row r="4" customHeight="1" spans="2:4">
      <c r="B4" s="208" t="str">
        <f>IF(C4&gt;0,1,"")</f>
        <v/>
      </c>
      <c r="C4" s="209">
        <v>0</v>
      </c>
      <c r="D4" s="210">
        <f t="shared" ref="D4:D22" si="0">IF(C4/10&gt;25,25,C4/10)</f>
        <v>0</v>
      </c>
    </row>
    <row r="5" customHeight="1" spans="2:5">
      <c r="B5" s="208" t="str">
        <f>IF(C5&gt;0,B4+1,"")</f>
        <v/>
      </c>
      <c r="C5" s="209">
        <v>0</v>
      </c>
      <c r="D5" s="210">
        <f t="shared" si="0"/>
        <v>0</v>
      </c>
      <c r="E5" s="211" t="s">
        <v>30</v>
      </c>
    </row>
    <row r="6" customHeight="1" spans="2:5">
      <c r="B6" s="208" t="str">
        <f t="shared" ref="B6:B22" si="1">IF(C6&gt;0,B5+1,"")</f>
        <v/>
      </c>
      <c r="C6" s="209">
        <v>0</v>
      </c>
      <c r="D6" s="210">
        <f t="shared" si="0"/>
        <v>0</v>
      </c>
      <c r="E6" s="211"/>
    </row>
    <row r="7" customHeight="1" spans="2:4">
      <c r="B7" s="208" t="str">
        <f t="shared" si="1"/>
        <v/>
      </c>
      <c r="C7" s="209">
        <v>0</v>
      </c>
      <c r="D7" s="210">
        <f t="shared" si="0"/>
        <v>0</v>
      </c>
    </row>
    <row r="8" customHeight="1" spans="2:4">
      <c r="B8" s="208" t="str">
        <f t="shared" si="1"/>
        <v/>
      </c>
      <c r="C8" s="209">
        <v>0</v>
      </c>
      <c r="D8" s="210">
        <f t="shared" si="0"/>
        <v>0</v>
      </c>
    </row>
    <row r="9" customHeight="1" spans="2:4">
      <c r="B9" s="208" t="str">
        <f t="shared" si="1"/>
        <v/>
      </c>
      <c r="C9" s="209">
        <v>0</v>
      </c>
      <c r="D9" s="210">
        <f t="shared" si="0"/>
        <v>0</v>
      </c>
    </row>
    <row r="10" customHeight="1" spans="2:4">
      <c r="B10" s="208" t="str">
        <f t="shared" si="1"/>
        <v/>
      </c>
      <c r="C10" s="209">
        <v>0</v>
      </c>
      <c r="D10" s="210">
        <f t="shared" si="0"/>
        <v>0</v>
      </c>
    </row>
    <row r="11" customHeight="1" spans="2:4">
      <c r="B11" s="208" t="str">
        <f t="shared" si="1"/>
        <v/>
      </c>
      <c r="C11" s="209">
        <v>0</v>
      </c>
      <c r="D11" s="210">
        <f t="shared" si="0"/>
        <v>0</v>
      </c>
    </row>
    <row r="12" customHeight="1" spans="2:4">
      <c r="B12" s="208" t="str">
        <f t="shared" si="1"/>
        <v/>
      </c>
      <c r="C12" s="209">
        <v>0</v>
      </c>
      <c r="D12" s="210">
        <f t="shared" si="0"/>
        <v>0</v>
      </c>
    </row>
    <row r="13" customHeight="1" spans="2:4">
      <c r="B13" s="208" t="str">
        <f t="shared" si="1"/>
        <v/>
      </c>
      <c r="C13" s="209">
        <v>0</v>
      </c>
      <c r="D13" s="210">
        <f t="shared" si="0"/>
        <v>0</v>
      </c>
    </row>
    <row r="14" customHeight="1" spans="2:4">
      <c r="B14" s="208" t="str">
        <f t="shared" si="1"/>
        <v/>
      </c>
      <c r="C14" s="209">
        <v>0</v>
      </c>
      <c r="D14" s="210">
        <f t="shared" si="0"/>
        <v>0</v>
      </c>
    </row>
    <row r="15" customHeight="1" spans="2:4">
      <c r="B15" s="208" t="str">
        <f t="shared" si="1"/>
        <v/>
      </c>
      <c r="C15" s="209">
        <v>0</v>
      </c>
      <c r="D15" s="210">
        <f t="shared" si="0"/>
        <v>0</v>
      </c>
    </row>
    <row r="16" customHeight="1" spans="2:4">
      <c r="B16" s="208" t="str">
        <f t="shared" si="1"/>
        <v/>
      </c>
      <c r="C16" s="209">
        <v>0</v>
      </c>
      <c r="D16" s="210">
        <f t="shared" si="0"/>
        <v>0</v>
      </c>
    </row>
    <row r="17" customHeight="1" spans="2:4">
      <c r="B17" s="208" t="str">
        <f t="shared" si="1"/>
        <v/>
      </c>
      <c r="C17" s="209">
        <v>0</v>
      </c>
      <c r="D17" s="210">
        <f t="shared" si="0"/>
        <v>0</v>
      </c>
    </row>
    <row r="18" customHeight="1" spans="2:4">
      <c r="B18" s="208" t="str">
        <f t="shared" si="1"/>
        <v/>
      </c>
      <c r="C18" s="209">
        <v>0</v>
      </c>
      <c r="D18" s="210">
        <f t="shared" si="0"/>
        <v>0</v>
      </c>
    </row>
    <row r="19" customHeight="1" spans="2:4">
      <c r="B19" s="208" t="str">
        <f t="shared" si="1"/>
        <v/>
      </c>
      <c r="C19" s="209">
        <v>0</v>
      </c>
      <c r="D19" s="210">
        <f t="shared" si="0"/>
        <v>0</v>
      </c>
    </row>
    <row r="20" customHeight="1" spans="2:4">
      <c r="B20" s="208" t="str">
        <f t="shared" si="1"/>
        <v/>
      </c>
      <c r="C20" s="209">
        <v>0</v>
      </c>
      <c r="D20" s="210">
        <f t="shared" si="0"/>
        <v>0</v>
      </c>
    </row>
    <row r="21" customHeight="1" spans="2:4">
      <c r="B21" s="208" t="str">
        <f t="shared" si="1"/>
        <v/>
      </c>
      <c r="C21" s="209">
        <v>0</v>
      </c>
      <c r="D21" s="210">
        <f t="shared" si="0"/>
        <v>0</v>
      </c>
    </row>
    <row r="22" customHeight="1" spans="2:4">
      <c r="B22" s="212" t="str">
        <f t="shared" si="1"/>
        <v/>
      </c>
      <c r="C22" s="213">
        <v>0</v>
      </c>
      <c r="D22" s="214">
        <f t="shared" si="0"/>
        <v>0</v>
      </c>
    </row>
    <row r="23" ht="15.75" spans="2:4">
      <c r="B23" s="215" t="s">
        <v>37</v>
      </c>
      <c r="C23" s="216">
        <f>SUM(C4:C22)</f>
        <v>0</v>
      </c>
      <c r="D23" s="217">
        <f>SUM(D4:D22)</f>
        <v>0</v>
      </c>
    </row>
    <row r="24"/>
  </sheetData>
  <sheetProtection password="83CC" sheet="1" formatColumns="0" formatRows="0" insertRows="0"/>
  <mergeCells count="2">
    <mergeCell ref="B2:D2"/>
    <mergeCell ref="E5:E6"/>
  </mergeCells>
  <hyperlinks>
    <hyperlink ref="E5:E6" location="'Procedura guidata'!A1" display="Torna alla procedura guidata!"/>
  </hyperlinks>
  <printOptions horizontalCentered="1"/>
  <pageMargins left="0.708661417322835" right="0.708661417322835" top="1.31303149606299" bottom="0.748031496062992" header="0.31496062992126" footer="0.31496062992126"/>
  <pageSetup paperSize="9" scale="95" orientation="portrait"/>
  <headerFooter/>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66"/>
  </sheetPr>
  <dimension ref="B1:I38"/>
  <sheetViews>
    <sheetView showGridLines="0" showZeros="0" workbookViewId="0">
      <selection activeCell="A1" sqref="A1"/>
    </sheetView>
  </sheetViews>
  <sheetFormatPr defaultColWidth="0" defaultRowHeight="12.75" zeroHeight="1"/>
  <cols>
    <col min="1" max="1" width="5.71428571428571" customWidth="1"/>
    <col min="2" max="2" width="31.8571428571429" customWidth="1"/>
    <col min="3" max="3" width="11.7142857142857" customWidth="1"/>
    <col min="4" max="7" width="13.4285714285714" customWidth="1"/>
    <col min="8" max="8" width="2" customWidth="1"/>
    <col min="9" max="9" width="18.7142857142857" customWidth="1"/>
    <col min="10" max="16384" width="9.14285714285714" hidden="1"/>
  </cols>
  <sheetData>
    <row r="1"/>
    <row r="2" ht="15.75" spans="2:8">
      <c r="B2" s="141" t="s">
        <v>302</v>
      </c>
      <c r="C2" s="141"/>
      <c r="D2" s="141"/>
      <c r="E2" s="141"/>
      <c r="F2" s="141"/>
      <c r="G2" s="141"/>
      <c r="H2" s="141"/>
    </row>
    <row r="3" customHeight="1" spans="2:6">
      <c r="B3" s="141"/>
      <c r="C3" s="141"/>
      <c r="D3" s="141"/>
      <c r="E3" s="141"/>
      <c r="F3" s="141"/>
    </row>
    <row r="4" ht="15" customHeight="1" spans="2:9">
      <c r="B4" s="142" t="s">
        <v>303</v>
      </c>
      <c r="C4" s="143"/>
      <c r="D4" s="143"/>
      <c r="E4" s="143"/>
      <c r="F4" s="143"/>
      <c r="G4" s="143"/>
      <c r="H4" s="144"/>
      <c r="I4" s="28"/>
    </row>
    <row r="5" customHeight="1" spans="2:9">
      <c r="B5" s="145" t="s">
        <v>304</v>
      </c>
      <c r="C5" s="146"/>
      <c r="D5" s="146"/>
      <c r="E5" s="146"/>
      <c r="F5" s="147"/>
      <c r="G5" s="148"/>
      <c r="H5" s="149"/>
      <c r="I5" s="200"/>
    </row>
    <row r="6" customHeight="1" spans="2:9">
      <c r="B6" s="150" t="s">
        <v>305</v>
      </c>
      <c r="C6" s="151"/>
      <c r="D6" s="151"/>
      <c r="E6" s="151"/>
      <c r="F6" s="152"/>
      <c r="G6" s="153">
        <v>0.025</v>
      </c>
      <c r="H6" s="149"/>
      <c r="I6" s="201"/>
    </row>
    <row r="7" customHeight="1" spans="2:9">
      <c r="B7" s="154"/>
      <c r="C7" s="155"/>
      <c r="D7" s="155"/>
      <c r="E7" s="156"/>
      <c r="F7" s="155"/>
      <c r="G7" s="157"/>
      <c r="H7" s="158"/>
      <c r="I7" s="201"/>
    </row>
    <row r="8" ht="13.5" spans="9:9">
      <c r="I8" s="201"/>
    </row>
    <row r="9" ht="15" customHeight="1" spans="2:9">
      <c r="B9" s="142" t="s">
        <v>306</v>
      </c>
      <c r="C9" s="143"/>
      <c r="D9" s="143"/>
      <c r="E9" s="143"/>
      <c r="F9" s="143"/>
      <c r="G9" s="143"/>
      <c r="H9" s="144"/>
      <c r="I9" s="202" t="s">
        <v>30</v>
      </c>
    </row>
    <row r="10" customHeight="1" spans="2:9">
      <c r="B10" s="159"/>
      <c r="D10" s="160" t="s">
        <v>307</v>
      </c>
      <c r="E10" s="161"/>
      <c r="F10" s="162"/>
      <c r="G10" s="98"/>
      <c r="H10" s="149"/>
      <c r="I10" s="202"/>
    </row>
    <row r="11" customHeight="1" spans="2:8">
      <c r="B11" s="163" t="s">
        <v>308</v>
      </c>
      <c r="C11" s="164"/>
      <c r="D11" s="165">
        <f ca="1">Riepilogo_CostoCostruzione_totale*0.25</f>
        <v>0</v>
      </c>
      <c r="E11" s="166"/>
      <c r="F11" s="167"/>
      <c r="G11" s="167"/>
      <c r="H11" s="149"/>
    </row>
    <row r="12" customHeight="1" spans="2:8">
      <c r="B12" s="168" t="s">
        <v>40</v>
      </c>
      <c r="C12" s="169"/>
      <c r="D12" s="170">
        <f>Riepilogo_Cc_OneriSmaltRifiutiRif*0.25</f>
        <v>0</v>
      </c>
      <c r="E12" s="171"/>
      <c r="F12" s="172"/>
      <c r="G12" s="172"/>
      <c r="H12" s="149"/>
    </row>
    <row r="13" customHeight="1" spans="2:8">
      <c r="B13" s="168" t="s">
        <v>309</v>
      </c>
      <c r="C13" s="169"/>
      <c r="D13" s="173">
        <f>Riepilogo_OneriUrbPrim*0.25</f>
        <v>0</v>
      </c>
      <c r="E13" s="171"/>
      <c r="F13" s="172"/>
      <c r="G13" s="172"/>
      <c r="H13" s="149"/>
    </row>
    <row r="14" customHeight="1" spans="2:8">
      <c r="B14" s="168" t="s">
        <v>310</v>
      </c>
      <c r="C14" s="169"/>
      <c r="D14" s="174">
        <f>Riepilogo_OneriSecPrim*0.25</f>
        <v>0</v>
      </c>
      <c r="E14" s="171"/>
      <c r="F14" s="172"/>
      <c r="G14" s="172"/>
      <c r="H14" s="149"/>
    </row>
    <row r="15" customHeight="1" spans="2:8">
      <c r="B15" s="175"/>
      <c r="C15" s="176"/>
      <c r="D15" s="177"/>
      <c r="E15" s="176"/>
      <c r="F15" s="178"/>
      <c r="G15" s="176"/>
      <c r="H15" s="158"/>
    </row>
    <row r="16" ht="15" customHeight="1" spans="2:4">
      <c r="B16" s="179" t="s">
        <v>37</v>
      </c>
      <c r="C16" s="180"/>
      <c r="D16" s="181">
        <f ca="1">Rateizzazione_1RataCC+Rateizzazione_1RataSR+Rateizzazione_1RataOnPrim+Rateizzazione_1RataOnSec</f>
        <v>0</v>
      </c>
    </row>
    <row r="17" ht="6" customHeight="1" spans="2:4">
      <c r="B17" s="182"/>
      <c r="D17" s="183"/>
    </row>
    <row r="18" ht="15" customHeight="1" spans="2:4">
      <c r="B18" s="184" t="s">
        <v>311</v>
      </c>
      <c r="C18" s="184"/>
      <c r="D18" s="185">
        <f>IF(Rateizzazione_DataProtocollo&gt;1/1/1990,Rateizzazione_DataProtocollo+30,0)</f>
        <v>0</v>
      </c>
    </row>
    <row r="19" customHeight="1" spans="2:4">
      <c r="B19" s="182"/>
      <c r="D19" s="186"/>
    </row>
    <row r="20" ht="15" customHeight="1" spans="2:8">
      <c r="B20" s="142" t="s">
        <v>312</v>
      </c>
      <c r="C20" s="143"/>
      <c r="D20" s="143"/>
      <c r="E20" s="143"/>
      <c r="F20" s="143"/>
      <c r="G20" s="143"/>
      <c r="H20" s="144"/>
    </row>
    <row r="21" customHeight="1" spans="2:8">
      <c r="B21" s="159"/>
      <c r="E21" s="160" t="s">
        <v>313</v>
      </c>
      <c r="F21" s="160" t="s">
        <v>314</v>
      </c>
      <c r="G21" s="162" t="s">
        <v>315</v>
      </c>
      <c r="H21" s="149"/>
    </row>
    <row r="22" customHeight="1" spans="2:8">
      <c r="B22" s="163" t="s">
        <v>308</v>
      </c>
      <c r="C22" s="187"/>
      <c r="D22" s="164"/>
      <c r="E22" s="188">
        <f ca="1">Riepilogo_CostoCostruzione_totale*0.25</f>
        <v>0</v>
      </c>
      <c r="F22" s="188">
        <f ca="1">Riepilogo_CostoCostruzione_totale*0.25</f>
        <v>0</v>
      </c>
      <c r="G22" s="170">
        <f ca="1">Riepilogo_CostoCostruzione_totale*0.25</f>
        <v>0</v>
      </c>
      <c r="H22" s="149"/>
    </row>
    <row r="23" customHeight="1" spans="2:8">
      <c r="B23" s="168" t="s">
        <v>40</v>
      </c>
      <c r="C23" s="189"/>
      <c r="D23" s="169"/>
      <c r="E23" s="190">
        <f>((Riepilogo_Cc_OneriSmaltRifiutiRif*0.25)+(((Riepilogo_Cc_OneriSmaltRifiutiRif-Rateizzazione_1RataSR)*Rateizzazione_InteresseLegale*180)/(365))/3)</f>
        <v>0</v>
      </c>
      <c r="F23" s="170">
        <f>((Riepilogo_Cc_OneriSmaltRifiutiRif*0.25)+(((Riepilogo_Cc_OneriSmaltRifiutiRif-(Rateizzazione_1RataSR*2))*Rateizzazione_InteresseLegale*360)/(365))/2)</f>
        <v>0</v>
      </c>
      <c r="G23" s="191">
        <f>((Riepilogo_Cc_OneriSmaltRifiutiRif*0.25)+(((Riepilogo_Cc_OneriSmaltRifiutiRif-(Rateizzazione_1RataSR*3))*Rateizzazione_InteresseLegale*540)/(365)))</f>
        <v>0</v>
      </c>
      <c r="H23" s="149"/>
    </row>
    <row r="24" customHeight="1" spans="2:8">
      <c r="B24" s="168" t="s">
        <v>309</v>
      </c>
      <c r="C24" s="189"/>
      <c r="D24" s="169"/>
      <c r="E24" s="190">
        <f>((Riepilogo_OneriUrbPrim*0.25)+(((Riepilogo_OneriUrbPrim-Rateizzazione_1RataOnPrim)*Rateizzazione_InteresseLegale*180)/(365))/3)</f>
        <v>0</v>
      </c>
      <c r="F24" s="170">
        <f>((Riepilogo_OneriUrbPrim*0.25)+(((Riepilogo_OneriUrbPrim-(Rateizzazione_1RataOnPrim*2))*Rateizzazione_InteresseLegale*360)/(365))/2)</f>
        <v>0</v>
      </c>
      <c r="G24" s="191">
        <f>((Riepilogo_OneriUrbPrim*0.25)+(((Riepilogo_OneriUrbPrim-(Rateizzazione_1RataOnPrim*3))*Rateizzazione_InteresseLegale*540)/(365)))</f>
        <v>0</v>
      </c>
      <c r="H24" s="149"/>
    </row>
    <row r="25" customHeight="1" spans="2:8">
      <c r="B25" s="168" t="s">
        <v>310</v>
      </c>
      <c r="C25" s="189"/>
      <c r="D25" s="169"/>
      <c r="E25" s="190">
        <f>((Riepilogo_OneriSecPrim*0.25)+(((Riepilogo_OneriSecPrim-Rateizzazione_1RataOnSec)*Rateizzazione_InteresseLegale*180)/(365))/3)</f>
        <v>0</v>
      </c>
      <c r="F25" s="170">
        <f>((Riepilogo_OneriSecPrim*0.25)+(((Riepilogo_OneriSecPrim-(Rateizzazione_1RataOnSec*2))*Rateizzazione_InteresseLegale*360)/(365))/2)</f>
        <v>0</v>
      </c>
      <c r="G25" s="191">
        <f>((Riepilogo_OneriSecPrim*0.25)+(((Riepilogo_OneriSecPrim-(Rateizzazione_1RataOnSec*3))*Rateizzazione_InteresseLegale*540)/(365)))</f>
        <v>0</v>
      </c>
      <c r="H25" s="149"/>
    </row>
    <row r="26" customHeight="1" spans="2:8">
      <c r="B26" s="192"/>
      <c r="C26" s="155"/>
      <c r="D26" s="155"/>
      <c r="E26" s="193"/>
      <c r="F26" s="193"/>
      <c r="G26" s="193"/>
      <c r="H26" s="158"/>
    </row>
    <row r="27" ht="15" customHeight="1" spans="2:8">
      <c r="B27" s="179" t="s">
        <v>37</v>
      </c>
      <c r="C27" s="179"/>
      <c r="D27" s="180"/>
      <c r="E27" s="194">
        <f ca="1">Rateizzazione_2RataCC+Rateizzazione_2RataSR+Rateizzazione_2RataOnPrim+Rateizzazione_2RataOnSec</f>
        <v>0</v>
      </c>
      <c r="F27" s="181">
        <f ca="1">Rateizzazione_3RataCC+Rateizzazione_3RataSR+Rateizzazione_3RataOnPrim+Rateizzazione_3RataOnSec</f>
        <v>0</v>
      </c>
      <c r="G27" s="195">
        <f ca="1">Rateizzazione_4RataCC+Rateizzazione_4RataSR+Rateizzazione_4RataOnPrim+Rateizzazione_4RataOnSec</f>
        <v>0</v>
      </c>
      <c r="H27" s="98"/>
    </row>
    <row r="28" ht="6" customHeight="1" spans="2:8">
      <c r="B28" s="182"/>
      <c r="H28" s="98"/>
    </row>
    <row r="29" ht="15" customHeight="1" spans="2:8">
      <c r="B29" s="184" t="s">
        <v>311</v>
      </c>
      <c r="C29" s="184"/>
      <c r="D29" s="184"/>
      <c r="E29" s="185">
        <f>IF(Rateizzazione_DataProtocollo&gt;1/1/1990,Rateizzazione_DataProtocollo+180,0)</f>
        <v>0</v>
      </c>
      <c r="F29" s="185">
        <f>IF(Rateizzazione_DataProtocollo&gt;1/1/1990,Rateizzazione_DataProtocollo+360,0)</f>
        <v>0</v>
      </c>
      <c r="G29" s="196">
        <f>IF(Rateizzazione_DataProtocollo&gt;1/1/1990,Rateizzazione_DataProtocollo+540,0)</f>
        <v>0</v>
      </c>
      <c r="H29" s="98"/>
    </row>
    <row r="30" customHeight="1" spans="2:2">
      <c r="B30" s="197"/>
    </row>
    <row r="31" ht="15" customHeight="1" spans="2:8">
      <c r="B31" s="142" t="s">
        <v>316</v>
      </c>
      <c r="C31" s="143"/>
      <c r="D31" s="143"/>
      <c r="E31" s="143"/>
      <c r="F31" s="143"/>
      <c r="G31" s="143"/>
      <c r="H31" s="144"/>
    </row>
    <row r="32" customHeight="1" spans="2:8">
      <c r="B32" s="145" t="s">
        <v>317</v>
      </c>
      <c r="C32" s="146"/>
      <c r="D32" s="146"/>
      <c r="E32" s="146"/>
      <c r="F32" s="147"/>
      <c r="G32" s="198">
        <f ca="1">Rateizzazione_Totale2Rata+Rateizzazione_Totale3Rata+Rateizzazione_Totale4Rata</f>
        <v>0</v>
      </c>
      <c r="H32" s="149"/>
    </row>
    <row r="33" customHeight="1" spans="2:8">
      <c r="B33" s="150" t="s">
        <v>318</v>
      </c>
      <c r="C33" s="151"/>
      <c r="D33" s="151"/>
      <c r="E33" s="151"/>
      <c r="F33" s="152"/>
      <c r="G33" s="170">
        <f ca="1">(Rateizzazione_Totale2Rata+Rateizzazione_Totale3Rata+Rateizzazione_Totale4Rata)*0.4</f>
        <v>0</v>
      </c>
      <c r="H33" s="149"/>
    </row>
    <row r="34" customHeight="1" spans="2:8">
      <c r="B34" s="154"/>
      <c r="C34" s="155"/>
      <c r="D34" s="155"/>
      <c r="E34" s="156"/>
      <c r="F34" s="155"/>
      <c r="G34" s="157"/>
      <c r="H34" s="158"/>
    </row>
    <row r="35" ht="15" customHeight="1" spans="2:7">
      <c r="B35" s="179" t="s">
        <v>319</v>
      </c>
      <c r="C35" s="179"/>
      <c r="D35" s="179"/>
      <c r="E35" s="179"/>
      <c r="F35" s="180"/>
      <c r="G35" s="181">
        <f ca="1">Rateizzazione_TotaleRate+Rateizzazione_Sanzioni</f>
        <v>0</v>
      </c>
    </row>
    <row r="36" ht="6" customHeight="1"/>
    <row r="37" ht="15" customHeight="1" spans="2:7">
      <c r="B37" s="199" t="s">
        <v>320</v>
      </c>
      <c r="C37" s="199"/>
      <c r="D37" s="199"/>
      <c r="E37" s="199"/>
      <c r="F37" s="199"/>
      <c r="G37" s="185">
        <f>IF(Rateizzazione_DataProtocollo&gt;1/1/1990,Rateizzazione_Scadenza4Rata+540,0)</f>
        <v>0</v>
      </c>
    </row>
    <row r="38"/>
  </sheetData>
  <sheetProtection password="83CC" sheet="1" objects="1" scenarios="1"/>
  <mergeCells count="28">
    <mergeCell ref="B2:H2"/>
    <mergeCell ref="B4:H4"/>
    <mergeCell ref="B5:F5"/>
    <mergeCell ref="B6:F6"/>
    <mergeCell ref="B9:H9"/>
    <mergeCell ref="B11:C11"/>
    <mergeCell ref="E11:G11"/>
    <mergeCell ref="B12:C12"/>
    <mergeCell ref="E12:G12"/>
    <mergeCell ref="B13:C13"/>
    <mergeCell ref="E13:G13"/>
    <mergeCell ref="B14:C14"/>
    <mergeCell ref="E14:G14"/>
    <mergeCell ref="B16:C16"/>
    <mergeCell ref="B18:C18"/>
    <mergeCell ref="B20:H20"/>
    <mergeCell ref="B22:D22"/>
    <mergeCell ref="B23:D23"/>
    <mergeCell ref="B24:D24"/>
    <mergeCell ref="B25:D25"/>
    <mergeCell ref="B27:D27"/>
    <mergeCell ref="B29:D29"/>
    <mergeCell ref="B31:H31"/>
    <mergeCell ref="B32:F32"/>
    <mergeCell ref="B33:F33"/>
    <mergeCell ref="B35:F35"/>
    <mergeCell ref="B37:F37"/>
    <mergeCell ref="I9:I10"/>
  </mergeCells>
  <hyperlinks>
    <hyperlink ref="I9:I10" location="'Procedura guidata'!A1" display="Torna alla procedura guidata!"/>
  </hyperlinks>
  <pageMargins left="0.7" right="0.7" top="0.75" bottom="0.75" header="0.3" footer="0.3"/>
  <pageSetup paperSize="9" orientation="portrait" horizontalDpi="300" verticalDpi="300"/>
  <headerFooter/>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66"/>
  </sheetPr>
  <dimension ref="A1:AD200"/>
  <sheetViews>
    <sheetView showGridLines="0" workbookViewId="0">
      <selection activeCell="N58" sqref="N58"/>
    </sheetView>
  </sheetViews>
  <sheetFormatPr defaultColWidth="0" defaultRowHeight="12.75" zeroHeight="1"/>
  <cols>
    <col min="1" max="1" width="17" customWidth="1"/>
    <col min="2" max="2" width="9.57142857142857" customWidth="1"/>
    <col min="3" max="3" width="10.7142857142857" customWidth="1"/>
    <col min="4" max="4" width="12.7142857142857" customWidth="1"/>
    <col min="5" max="5" width="10.7142857142857" customWidth="1"/>
    <col min="6" max="6" width="12.7142857142857" customWidth="1"/>
    <col min="7" max="7" width="10.7142857142857" customWidth="1"/>
    <col min="8" max="8" width="12.7142857142857" customWidth="1"/>
    <col min="9" max="9" width="10.7142857142857" customWidth="1"/>
    <col min="10" max="10" width="12.7142857142857" customWidth="1"/>
    <col min="11" max="11" width="10.7142857142857" customWidth="1"/>
    <col min="12" max="12" width="12.7142857142857" customWidth="1"/>
    <col min="13" max="13" width="10.7142857142857" customWidth="1"/>
    <col min="14" max="14" width="15.7142857142857" customWidth="1"/>
    <col min="15" max="15" width="10.7142857142857" customWidth="1"/>
    <col min="16" max="16" width="18.7142857142857" customWidth="1"/>
    <col min="17" max="17" width="10.7142857142857" customWidth="1"/>
    <col min="18" max="18" width="12.7142857142857" customWidth="1"/>
    <col min="19" max="19" width="10.7142857142857" customWidth="1"/>
    <col min="20" max="20" width="12.7142857142857" customWidth="1"/>
    <col min="21" max="30" width="14.7142857142857" customWidth="1"/>
    <col min="31" max="31" width="9.14285714285714" customWidth="1"/>
  </cols>
  <sheetData>
    <row r="1"/>
    <row r="2" ht="21.75" customHeight="1" spans="1:30">
      <c r="A2" s="4"/>
      <c r="B2" s="5"/>
      <c r="C2" s="6" t="str">
        <f>Parametri_DestUsoPersonalizzazione1</f>
        <v>Residenziale</v>
      </c>
      <c r="D2" s="7"/>
      <c r="E2" s="8" t="s">
        <v>321</v>
      </c>
      <c r="F2" s="9"/>
      <c r="G2" s="6" t="str">
        <f>Parametri_DestUsoPersonalizzazione2</f>
        <v>Commerciale direzionale</v>
      </c>
      <c r="H2" s="7"/>
      <c r="I2" s="6" t="str">
        <f>Parametri_DestUsoPersonalizzazione3</f>
        <v>Industria </v>
      </c>
      <c r="J2" s="7"/>
      <c r="K2" s="6" t="str">
        <f>Parametri_DestUsoPersonalizzazione4</f>
        <v>Industriale alberghiera </v>
      </c>
      <c r="L2" s="7"/>
      <c r="M2" s="41" t="str">
        <f>Parametri_DestUsoPersonalizzazione5</f>
        <v>Parcheggi, silos (posto auto)</v>
      </c>
      <c r="N2" s="42"/>
      <c r="O2" s="41" t="str">
        <f>Parametri_DestUsoPersonalizzazione6</f>
        <v>Attrezzature culturali e sanitarie</v>
      </c>
      <c r="P2" s="42"/>
      <c r="Q2" s="41" t="str">
        <f>Parametri_DestUsoPersonalizzazione7</f>
        <v>Attrezzature sportive</v>
      </c>
      <c r="R2" s="42"/>
      <c r="S2" s="41" t="str">
        <f>Parametri_DestUsoPersonalizzazione8</f>
        <v>Attrezzature spettacolo</v>
      </c>
      <c r="T2" s="42"/>
      <c r="U2" s="41" t="str">
        <f>Parametri_DestUsoPersonalizzazione9</f>
        <v>Artigianato</v>
      </c>
      <c r="V2" s="42"/>
      <c r="W2" s="6" t="str">
        <f>Parametri_DestUsoPersonalizzazione10</f>
        <v>Campeggi (€/utente)</v>
      </c>
      <c r="X2" s="7"/>
      <c r="Y2" s="41" t="str">
        <f>Parametri_DestUsoPersonalizzazione11</f>
        <v>Destinazione ulteriore 3</v>
      </c>
      <c r="Z2" s="42"/>
      <c r="AA2" s="41" t="str">
        <f>Parametri_DestUsoPersonalizzazione12</f>
        <v>Destinazione ulteriore 4</v>
      </c>
      <c r="AB2" s="42"/>
      <c r="AC2" s="41" t="str">
        <f>Parametri_DestUsoPersonalizzazione13</f>
        <v>Destinazione ulteriore 5</v>
      </c>
      <c r="AD2" s="42"/>
    </row>
    <row r="3" ht="22.5" spans="1:30">
      <c r="A3" s="10"/>
      <c r="B3" s="11" t="s">
        <v>322</v>
      </c>
      <c r="C3" s="12" t="s">
        <v>68</v>
      </c>
      <c r="D3" s="13" t="s">
        <v>6</v>
      </c>
      <c r="E3" s="12" t="s">
        <v>68</v>
      </c>
      <c r="F3" s="13" t="s">
        <v>6</v>
      </c>
      <c r="G3" s="12" t="s">
        <v>68</v>
      </c>
      <c r="H3" s="13" t="s">
        <v>6</v>
      </c>
      <c r="I3" s="12" t="s">
        <v>68</v>
      </c>
      <c r="J3" s="13" t="s">
        <v>6</v>
      </c>
      <c r="K3" s="12" t="s">
        <v>68</v>
      </c>
      <c r="L3" s="43" t="s">
        <v>6</v>
      </c>
      <c r="M3" s="12" t="s">
        <v>68</v>
      </c>
      <c r="N3" s="43" t="s">
        <v>6</v>
      </c>
      <c r="O3" s="12" t="s">
        <v>68</v>
      </c>
      <c r="P3" s="43" t="s">
        <v>6</v>
      </c>
      <c r="Q3" s="12" t="s">
        <v>68</v>
      </c>
      <c r="R3" s="13" t="s">
        <v>6</v>
      </c>
      <c r="S3" s="12" t="s">
        <v>68</v>
      </c>
      <c r="T3" s="13" t="s">
        <v>6</v>
      </c>
      <c r="U3" s="12" t="s">
        <v>68</v>
      </c>
      <c r="V3" s="13" t="s">
        <v>6</v>
      </c>
      <c r="W3" s="12" t="s">
        <v>68</v>
      </c>
      <c r="X3" s="13" t="s">
        <v>6</v>
      </c>
      <c r="Y3" s="12" t="s">
        <v>68</v>
      </c>
      <c r="Z3" s="13" t="s">
        <v>6</v>
      </c>
      <c r="AA3" s="12" t="s">
        <v>68</v>
      </c>
      <c r="AB3" s="13" t="s">
        <v>6</v>
      </c>
      <c r="AC3" s="12" t="s">
        <v>68</v>
      </c>
      <c r="AD3" s="13" t="s">
        <v>6</v>
      </c>
    </row>
    <row r="4" spans="1:30">
      <c r="A4" s="14" t="s">
        <v>323</v>
      </c>
      <c r="B4" s="15" t="str">
        <f>IF(Zona1&lt;&gt;"",Zona1,"")</f>
        <v>A</v>
      </c>
      <c r="C4" s="16">
        <v>3.8</v>
      </c>
      <c r="D4" s="17">
        <v>2.3</v>
      </c>
      <c r="E4" s="16"/>
      <c r="F4" s="17"/>
      <c r="G4" s="16">
        <v>55.6</v>
      </c>
      <c r="H4" s="17">
        <v>32.75</v>
      </c>
      <c r="I4" s="16">
        <v>18.25</v>
      </c>
      <c r="J4" s="17">
        <v>12.15</v>
      </c>
      <c r="K4" s="16">
        <v>30.85</v>
      </c>
      <c r="L4" s="17">
        <v>16.3</v>
      </c>
      <c r="M4" s="16">
        <v>222.75</v>
      </c>
      <c r="N4" s="17">
        <v>111.7</v>
      </c>
      <c r="O4" s="16">
        <v>11.2</v>
      </c>
      <c r="P4" s="17">
        <v>5.6</v>
      </c>
      <c r="Q4" s="16">
        <v>5.65</v>
      </c>
      <c r="R4" s="17">
        <v>2.8</v>
      </c>
      <c r="S4" s="16">
        <v>16.75</v>
      </c>
      <c r="T4" s="17">
        <v>8.35</v>
      </c>
      <c r="U4" s="16">
        <v>18.25</v>
      </c>
      <c r="V4" s="17">
        <v>12.15</v>
      </c>
      <c r="W4" s="16">
        <v>301.05</v>
      </c>
      <c r="X4" s="17">
        <v>119.55</v>
      </c>
      <c r="Y4" s="16"/>
      <c r="Z4" s="17"/>
      <c r="AA4" s="16"/>
      <c r="AB4" s="17"/>
      <c r="AC4" s="16"/>
      <c r="AD4" s="17"/>
    </row>
    <row r="5" spans="1:30">
      <c r="A5" s="14" t="s">
        <v>324</v>
      </c>
      <c r="B5" s="18"/>
      <c r="C5" s="19">
        <v>11.4</v>
      </c>
      <c r="D5" s="20">
        <v>3.7</v>
      </c>
      <c r="E5" s="19"/>
      <c r="F5" s="20"/>
      <c r="G5" s="19">
        <v>23.7</v>
      </c>
      <c r="H5" s="20">
        <v>15.55</v>
      </c>
      <c r="I5" s="19">
        <v>10.5</v>
      </c>
      <c r="J5" s="20">
        <v>5.55</v>
      </c>
      <c r="K5" s="19">
        <v>19.5</v>
      </c>
      <c r="L5" s="20">
        <v>9.75</v>
      </c>
      <c r="M5" s="19">
        <v>101.05</v>
      </c>
      <c r="N5" s="20">
        <v>47.05</v>
      </c>
      <c r="O5" s="19">
        <v>5.05</v>
      </c>
      <c r="P5" s="20">
        <v>2.4</v>
      </c>
      <c r="Q5" s="19">
        <v>2.75</v>
      </c>
      <c r="R5" s="20">
        <v>1.25</v>
      </c>
      <c r="S5" s="19">
        <v>7.8</v>
      </c>
      <c r="T5" s="20">
        <v>3.55</v>
      </c>
      <c r="U5" s="19">
        <v>10.5</v>
      </c>
      <c r="V5" s="20">
        <v>5.55</v>
      </c>
      <c r="W5" s="19">
        <v>205.2</v>
      </c>
      <c r="X5" s="20">
        <v>91.75</v>
      </c>
      <c r="Y5" s="19"/>
      <c r="Z5" s="20"/>
      <c r="AA5" s="19"/>
      <c r="AB5" s="20"/>
      <c r="AC5" s="19"/>
      <c r="AD5" s="20"/>
    </row>
    <row r="6" spans="1:30">
      <c r="A6" s="14" t="s">
        <v>40</v>
      </c>
      <c r="B6" s="21"/>
      <c r="C6" s="19"/>
      <c r="D6" s="20"/>
      <c r="E6" s="19"/>
      <c r="F6" s="20"/>
      <c r="G6" s="19"/>
      <c r="H6" s="20"/>
      <c r="I6" s="19">
        <v>5.5</v>
      </c>
      <c r="J6" s="20">
        <v>3.85</v>
      </c>
      <c r="K6" s="19"/>
      <c r="L6" s="20"/>
      <c r="M6" s="19"/>
      <c r="N6" s="20"/>
      <c r="O6" s="19"/>
      <c r="P6" s="20"/>
      <c r="Q6" s="19"/>
      <c r="R6" s="20"/>
      <c r="S6" s="19"/>
      <c r="T6" s="20"/>
      <c r="U6" s="19">
        <v>5.5</v>
      </c>
      <c r="V6" s="20">
        <v>2.8</v>
      </c>
      <c r="W6" s="19"/>
      <c r="X6" s="20"/>
      <c r="Y6" s="19"/>
      <c r="Z6" s="20"/>
      <c r="AA6" s="19"/>
      <c r="AB6" s="20"/>
      <c r="AC6" s="19"/>
      <c r="AD6" s="20"/>
    </row>
    <row r="7" spans="1:30">
      <c r="A7" s="14" t="s">
        <v>323</v>
      </c>
      <c r="B7" s="15" t="str">
        <f>IF(Zona2&lt;&gt;"",Zona2,"")</f>
        <v>B</v>
      </c>
      <c r="C7" s="16">
        <v>4.6</v>
      </c>
      <c r="D7" s="17">
        <v>3.05</v>
      </c>
      <c r="E7" s="16"/>
      <c r="F7" s="17"/>
      <c r="G7" s="16">
        <v>55.6</v>
      </c>
      <c r="H7" s="17">
        <v>32.75</v>
      </c>
      <c r="I7" s="16">
        <v>18.25</v>
      </c>
      <c r="J7" s="17">
        <v>12.15</v>
      </c>
      <c r="K7" s="16">
        <v>30.85</v>
      </c>
      <c r="L7" s="17">
        <v>16.3</v>
      </c>
      <c r="M7" s="16">
        <v>222.75</v>
      </c>
      <c r="N7" s="17">
        <v>111.7</v>
      </c>
      <c r="O7" s="16">
        <v>11.2</v>
      </c>
      <c r="P7" s="17">
        <v>5.6</v>
      </c>
      <c r="Q7" s="16">
        <v>5.65</v>
      </c>
      <c r="R7" s="17">
        <v>2.8</v>
      </c>
      <c r="S7" s="16">
        <v>16.75</v>
      </c>
      <c r="T7" s="17">
        <v>8.35</v>
      </c>
      <c r="U7" s="16">
        <v>18.25</v>
      </c>
      <c r="V7" s="17">
        <v>12.15</v>
      </c>
      <c r="W7" s="16">
        <v>301.05</v>
      </c>
      <c r="X7" s="17">
        <v>119.55</v>
      </c>
      <c r="Y7" s="16"/>
      <c r="Z7" s="17"/>
      <c r="AA7" s="16"/>
      <c r="AB7" s="17"/>
      <c r="AC7" s="16"/>
      <c r="AD7" s="17"/>
    </row>
    <row r="8" spans="1:30">
      <c r="A8" s="14" t="s">
        <v>324</v>
      </c>
      <c r="B8" s="18"/>
      <c r="C8" s="19">
        <v>11.4</v>
      </c>
      <c r="D8" s="20">
        <v>3.85</v>
      </c>
      <c r="E8" s="19"/>
      <c r="F8" s="20"/>
      <c r="G8" s="19">
        <v>23.7</v>
      </c>
      <c r="H8" s="20">
        <v>15.55</v>
      </c>
      <c r="I8" s="19">
        <v>10.5</v>
      </c>
      <c r="J8" s="20">
        <v>5.55</v>
      </c>
      <c r="K8" s="19">
        <v>19.5</v>
      </c>
      <c r="L8" s="20">
        <v>9.75</v>
      </c>
      <c r="M8" s="19">
        <v>101.05</v>
      </c>
      <c r="N8" s="20">
        <v>47.05</v>
      </c>
      <c r="O8" s="19">
        <v>5.05</v>
      </c>
      <c r="P8" s="20">
        <v>2.4</v>
      </c>
      <c r="Q8" s="19">
        <v>2.75</v>
      </c>
      <c r="R8" s="20">
        <v>1.25</v>
      </c>
      <c r="S8" s="19">
        <v>7.8</v>
      </c>
      <c r="T8" s="20">
        <v>3.55</v>
      </c>
      <c r="U8" s="19">
        <v>10.5</v>
      </c>
      <c r="V8" s="20">
        <v>5.55</v>
      </c>
      <c r="W8" s="19">
        <v>205.2</v>
      </c>
      <c r="X8" s="20">
        <v>91.75</v>
      </c>
      <c r="Y8" s="19"/>
      <c r="Z8" s="20"/>
      <c r="AA8" s="19"/>
      <c r="AB8" s="20"/>
      <c r="AC8" s="19"/>
      <c r="AD8" s="20"/>
    </row>
    <row r="9" spans="1:30">
      <c r="A9" s="14" t="s">
        <v>40</v>
      </c>
      <c r="B9" s="21"/>
      <c r="C9" s="19"/>
      <c r="D9" s="20"/>
      <c r="E9" s="19"/>
      <c r="F9" s="20"/>
      <c r="G9" s="19"/>
      <c r="H9" s="20"/>
      <c r="I9" s="19">
        <v>5.5</v>
      </c>
      <c r="J9" s="20">
        <v>3.85</v>
      </c>
      <c r="K9" s="19"/>
      <c r="L9" s="20"/>
      <c r="M9" s="19"/>
      <c r="N9" s="20"/>
      <c r="O9" s="19"/>
      <c r="P9" s="20"/>
      <c r="Q9" s="19"/>
      <c r="R9" s="20"/>
      <c r="S9" s="19"/>
      <c r="T9" s="20"/>
      <c r="U9" s="19">
        <v>5.5</v>
      </c>
      <c r="V9" s="20">
        <v>2.8</v>
      </c>
      <c r="W9" s="19"/>
      <c r="X9" s="20"/>
      <c r="Y9" s="19"/>
      <c r="Z9" s="20"/>
      <c r="AA9" s="19"/>
      <c r="AB9" s="20"/>
      <c r="AC9" s="19"/>
      <c r="AD9" s="20"/>
    </row>
    <row r="10" spans="1:30">
      <c r="A10" s="14" t="s">
        <v>323</v>
      </c>
      <c r="B10" s="15" t="str">
        <f>IF(Zona3&lt;&gt;"",Zona3,"")</f>
        <v>C</v>
      </c>
      <c r="C10" s="16">
        <v>6.85</v>
      </c>
      <c r="D10" s="17">
        <v>3.05</v>
      </c>
      <c r="E10" s="16"/>
      <c r="F10" s="17"/>
      <c r="G10" s="16">
        <v>55.6</v>
      </c>
      <c r="H10" s="17">
        <v>32.75</v>
      </c>
      <c r="I10" s="16">
        <v>18.25</v>
      </c>
      <c r="J10" s="17">
        <v>12.15</v>
      </c>
      <c r="K10" s="16">
        <v>30.85</v>
      </c>
      <c r="L10" s="17">
        <v>16.3</v>
      </c>
      <c r="M10" s="16">
        <v>222.75</v>
      </c>
      <c r="N10" s="17">
        <v>111.7</v>
      </c>
      <c r="O10" s="16">
        <v>11.2</v>
      </c>
      <c r="P10" s="17">
        <v>5.6</v>
      </c>
      <c r="Q10" s="16">
        <v>5.65</v>
      </c>
      <c r="R10" s="17">
        <v>2.8</v>
      </c>
      <c r="S10" s="16">
        <v>16.75</v>
      </c>
      <c r="T10" s="17">
        <v>8.35</v>
      </c>
      <c r="U10" s="16">
        <v>18.25</v>
      </c>
      <c r="V10" s="17">
        <v>12.15</v>
      </c>
      <c r="W10" s="16">
        <v>301.05</v>
      </c>
      <c r="X10" s="17">
        <v>119.55</v>
      </c>
      <c r="Y10" s="16"/>
      <c r="Z10" s="17"/>
      <c r="AA10" s="16"/>
      <c r="AB10" s="17"/>
      <c r="AC10" s="16"/>
      <c r="AD10" s="17"/>
    </row>
    <row r="11" spans="1:30">
      <c r="A11" s="14" t="s">
        <v>324</v>
      </c>
      <c r="B11" s="18"/>
      <c r="C11" s="19">
        <v>11.4</v>
      </c>
      <c r="D11" s="20">
        <v>3.85</v>
      </c>
      <c r="E11" s="19"/>
      <c r="F11" s="20"/>
      <c r="G11" s="19">
        <v>23.7</v>
      </c>
      <c r="H11" s="20">
        <v>15.55</v>
      </c>
      <c r="I11" s="19">
        <v>10.5</v>
      </c>
      <c r="J11" s="20">
        <v>5.55</v>
      </c>
      <c r="K11" s="19">
        <v>19.5</v>
      </c>
      <c r="L11" s="20">
        <v>9.75</v>
      </c>
      <c r="M11" s="19">
        <v>101.05</v>
      </c>
      <c r="N11" s="20">
        <v>47.05</v>
      </c>
      <c r="O11" s="19">
        <v>5.05</v>
      </c>
      <c r="P11" s="20">
        <v>2.4</v>
      </c>
      <c r="Q11" s="19">
        <v>2.75</v>
      </c>
      <c r="R11" s="20">
        <v>1.25</v>
      </c>
      <c r="S11" s="19">
        <v>7.8</v>
      </c>
      <c r="T11" s="20">
        <v>3.55</v>
      </c>
      <c r="U11" s="19">
        <v>10.5</v>
      </c>
      <c r="V11" s="20">
        <v>5.55</v>
      </c>
      <c r="W11" s="19">
        <v>205.2</v>
      </c>
      <c r="X11" s="20">
        <v>91.75</v>
      </c>
      <c r="Y11" s="19"/>
      <c r="Z11" s="20"/>
      <c r="AA11" s="19"/>
      <c r="AB11" s="20"/>
      <c r="AC11" s="19"/>
      <c r="AD11" s="20"/>
    </row>
    <row r="12" spans="1:30">
      <c r="A12" s="14" t="s">
        <v>40</v>
      </c>
      <c r="B12" s="21"/>
      <c r="C12" s="19"/>
      <c r="D12" s="20"/>
      <c r="E12" s="19"/>
      <c r="F12" s="20"/>
      <c r="G12" s="19"/>
      <c r="H12" s="20"/>
      <c r="I12" s="19">
        <v>5.5</v>
      </c>
      <c r="J12" s="20">
        <v>3.85</v>
      </c>
      <c r="K12" s="19"/>
      <c r="L12" s="20"/>
      <c r="M12" s="19"/>
      <c r="N12" s="20"/>
      <c r="O12" s="19"/>
      <c r="P12" s="20"/>
      <c r="Q12" s="19"/>
      <c r="R12" s="20"/>
      <c r="S12" s="19"/>
      <c r="T12" s="20"/>
      <c r="U12" s="19">
        <v>5.5</v>
      </c>
      <c r="V12" s="20">
        <v>2.8</v>
      </c>
      <c r="W12" s="19"/>
      <c r="X12" s="20"/>
      <c r="Y12" s="19"/>
      <c r="Z12" s="20"/>
      <c r="AA12" s="19"/>
      <c r="AB12" s="20"/>
      <c r="AC12" s="19"/>
      <c r="AD12" s="20"/>
    </row>
    <row r="13" spans="1:30">
      <c r="A13" s="14" t="s">
        <v>323</v>
      </c>
      <c r="B13" s="15" t="str">
        <f>IF(Zona4&lt;&gt;"",Zona4,"")</f>
        <v>D</v>
      </c>
      <c r="C13" s="16">
        <v>6.85</v>
      </c>
      <c r="D13" s="17">
        <v>3.05</v>
      </c>
      <c r="E13" s="16"/>
      <c r="F13" s="17"/>
      <c r="G13" s="16">
        <v>55.6</v>
      </c>
      <c r="H13" s="17">
        <v>32.75</v>
      </c>
      <c r="I13" s="16">
        <v>18.25</v>
      </c>
      <c r="J13" s="17">
        <v>12.15</v>
      </c>
      <c r="K13" s="16">
        <v>30.85</v>
      </c>
      <c r="L13" s="17">
        <v>16.3</v>
      </c>
      <c r="M13" s="16">
        <v>222.75</v>
      </c>
      <c r="N13" s="17">
        <v>111.7</v>
      </c>
      <c r="O13" s="16">
        <v>11.2</v>
      </c>
      <c r="P13" s="17">
        <v>5.6</v>
      </c>
      <c r="Q13" s="16">
        <v>5.65</v>
      </c>
      <c r="R13" s="17">
        <v>2.8</v>
      </c>
      <c r="S13" s="16">
        <v>16.75</v>
      </c>
      <c r="T13" s="17">
        <v>8.35</v>
      </c>
      <c r="U13" s="16">
        <v>18.25</v>
      </c>
      <c r="V13" s="17">
        <v>12.15</v>
      </c>
      <c r="W13" s="16">
        <v>301.05</v>
      </c>
      <c r="X13" s="17">
        <v>119.55</v>
      </c>
      <c r="Y13" s="16"/>
      <c r="Z13" s="17"/>
      <c r="AA13" s="16"/>
      <c r="AB13" s="17"/>
      <c r="AC13" s="16"/>
      <c r="AD13" s="17"/>
    </row>
    <row r="14" spans="1:30">
      <c r="A14" s="14" t="s">
        <v>324</v>
      </c>
      <c r="B14" s="18"/>
      <c r="C14" s="19">
        <v>11.4</v>
      </c>
      <c r="D14" s="20">
        <v>3.85</v>
      </c>
      <c r="E14" s="19"/>
      <c r="F14" s="20"/>
      <c r="G14" s="19">
        <v>23.7</v>
      </c>
      <c r="H14" s="20">
        <v>15.55</v>
      </c>
      <c r="I14" s="19">
        <v>10.5</v>
      </c>
      <c r="J14" s="20">
        <v>5.55</v>
      </c>
      <c r="K14" s="19">
        <v>19.5</v>
      </c>
      <c r="L14" s="20">
        <v>9.75</v>
      </c>
      <c r="M14" s="19">
        <v>101.05</v>
      </c>
      <c r="N14" s="20">
        <v>47.05</v>
      </c>
      <c r="O14" s="19">
        <v>5.05</v>
      </c>
      <c r="P14" s="20">
        <v>2.4</v>
      </c>
      <c r="Q14" s="19">
        <v>2.75</v>
      </c>
      <c r="R14" s="20">
        <v>1.25</v>
      </c>
      <c r="S14" s="19">
        <v>7.8</v>
      </c>
      <c r="T14" s="20">
        <v>3.55</v>
      </c>
      <c r="U14" s="19">
        <v>10.5</v>
      </c>
      <c r="V14" s="20">
        <v>5.55</v>
      </c>
      <c r="W14" s="19">
        <v>205.2</v>
      </c>
      <c r="X14" s="20">
        <v>91.75</v>
      </c>
      <c r="Y14" s="19"/>
      <c r="Z14" s="20"/>
      <c r="AA14" s="19"/>
      <c r="AB14" s="20"/>
      <c r="AC14" s="19"/>
      <c r="AD14" s="20"/>
    </row>
    <row r="15" spans="1:30">
      <c r="A15" s="14" t="s">
        <v>40</v>
      </c>
      <c r="B15" s="21"/>
      <c r="C15" s="19"/>
      <c r="D15" s="20"/>
      <c r="E15" s="19"/>
      <c r="F15" s="20"/>
      <c r="G15" s="19"/>
      <c r="H15" s="20"/>
      <c r="I15" s="19">
        <v>5.5</v>
      </c>
      <c r="J15" s="20">
        <v>3.85</v>
      </c>
      <c r="K15" s="19"/>
      <c r="L15" s="20"/>
      <c r="M15" s="19"/>
      <c r="N15" s="20"/>
      <c r="O15" s="19"/>
      <c r="P15" s="20"/>
      <c r="Q15" s="19"/>
      <c r="R15" s="20"/>
      <c r="S15" s="19"/>
      <c r="T15" s="20"/>
      <c r="U15" s="19">
        <v>5.5</v>
      </c>
      <c r="V15" s="20">
        <v>2.8</v>
      </c>
      <c r="W15" s="19"/>
      <c r="X15" s="20"/>
      <c r="Y15" s="19"/>
      <c r="Z15" s="20"/>
      <c r="AA15" s="19"/>
      <c r="AB15" s="20"/>
      <c r="AC15" s="19"/>
      <c r="AD15" s="20"/>
    </row>
    <row r="16" spans="1:30">
      <c r="A16" s="14" t="s">
        <v>323</v>
      </c>
      <c r="B16" s="15" t="str">
        <f>IF(Zona5&lt;&gt;"",Zona5,"")</f>
        <v>E</v>
      </c>
      <c r="C16" s="16">
        <v>6.85</v>
      </c>
      <c r="D16" s="17">
        <v>3.05</v>
      </c>
      <c r="E16" s="16"/>
      <c r="F16" s="17"/>
      <c r="G16" s="16">
        <v>55.6</v>
      </c>
      <c r="H16" s="17">
        <v>32.75</v>
      </c>
      <c r="I16" s="16">
        <v>18.25</v>
      </c>
      <c r="J16" s="17">
        <v>12.15</v>
      </c>
      <c r="K16" s="16">
        <v>30.85</v>
      </c>
      <c r="L16" s="17">
        <v>16.3</v>
      </c>
      <c r="M16" s="16">
        <v>222.75</v>
      </c>
      <c r="N16" s="17">
        <v>111.7</v>
      </c>
      <c r="O16" s="16">
        <v>11.2</v>
      </c>
      <c r="P16" s="17">
        <v>5.6</v>
      </c>
      <c r="Q16" s="16">
        <v>5.65</v>
      </c>
      <c r="R16" s="17">
        <v>2.8</v>
      </c>
      <c r="S16" s="16">
        <v>16.75</v>
      </c>
      <c r="T16" s="17">
        <v>8.35</v>
      </c>
      <c r="U16" s="16">
        <v>18.25</v>
      </c>
      <c r="V16" s="17">
        <v>12.15</v>
      </c>
      <c r="W16" s="16">
        <v>301.05</v>
      </c>
      <c r="X16" s="17">
        <v>119.55</v>
      </c>
      <c r="Y16" s="16"/>
      <c r="Z16" s="17"/>
      <c r="AA16" s="16"/>
      <c r="AB16" s="17"/>
      <c r="AC16" s="16"/>
      <c r="AD16" s="17"/>
    </row>
    <row r="17" spans="1:30">
      <c r="A17" s="14" t="s">
        <v>324</v>
      </c>
      <c r="B17" s="18"/>
      <c r="C17" s="19">
        <v>11.4</v>
      </c>
      <c r="D17" s="20">
        <v>3.85</v>
      </c>
      <c r="E17" s="19"/>
      <c r="F17" s="20"/>
      <c r="G17" s="19">
        <v>23.7</v>
      </c>
      <c r="H17" s="20">
        <v>15.55</v>
      </c>
      <c r="I17" s="19">
        <v>10.5</v>
      </c>
      <c r="J17" s="20">
        <v>5.55</v>
      </c>
      <c r="K17" s="19">
        <v>19.5</v>
      </c>
      <c r="L17" s="20">
        <v>9.75</v>
      </c>
      <c r="M17" s="19">
        <v>101.05</v>
      </c>
      <c r="N17" s="20">
        <v>47.05</v>
      </c>
      <c r="O17" s="19">
        <v>5.05</v>
      </c>
      <c r="P17" s="20">
        <v>2.4</v>
      </c>
      <c r="Q17" s="19">
        <v>2.75</v>
      </c>
      <c r="R17" s="20">
        <v>1.25</v>
      </c>
      <c r="S17" s="19">
        <v>7.8</v>
      </c>
      <c r="T17" s="20">
        <v>3.55</v>
      </c>
      <c r="U17" s="19">
        <v>10.5</v>
      </c>
      <c r="V17" s="20">
        <v>5.55</v>
      </c>
      <c r="W17" s="19">
        <v>205.2</v>
      </c>
      <c r="X17" s="20">
        <v>91.75</v>
      </c>
      <c r="Y17" s="19"/>
      <c r="Z17" s="20"/>
      <c r="AA17" s="19"/>
      <c r="AB17" s="20"/>
      <c r="AC17" s="19"/>
      <c r="AD17" s="20"/>
    </row>
    <row r="18" spans="1:30">
      <c r="A18" s="14" t="s">
        <v>40</v>
      </c>
      <c r="B18" s="21"/>
      <c r="C18" s="22"/>
      <c r="D18" s="23"/>
      <c r="E18" s="22"/>
      <c r="F18" s="23"/>
      <c r="G18" s="22"/>
      <c r="H18" s="23"/>
      <c r="I18" s="22">
        <v>5.5</v>
      </c>
      <c r="J18" s="23">
        <v>3.85</v>
      </c>
      <c r="K18" s="22"/>
      <c r="L18" s="23"/>
      <c r="M18" s="22"/>
      <c r="N18" s="23"/>
      <c r="O18" s="22"/>
      <c r="P18" s="23"/>
      <c r="Q18" s="22"/>
      <c r="R18" s="23"/>
      <c r="S18" s="22"/>
      <c r="T18" s="23"/>
      <c r="U18" s="22">
        <v>5.5</v>
      </c>
      <c r="V18" s="23">
        <v>2.8</v>
      </c>
      <c r="W18" s="22"/>
      <c r="X18" s="23"/>
      <c r="Y18" s="22"/>
      <c r="Z18" s="23"/>
      <c r="AA18" s="22"/>
      <c r="AB18" s="23"/>
      <c r="AC18" s="22"/>
      <c r="AD18" s="23"/>
    </row>
    <row r="19" hidden="1" spans="1:30">
      <c r="A19" s="14" t="s">
        <v>323</v>
      </c>
      <c r="B19" s="15" t="str">
        <f>IF(Zona6&lt;&gt;"",Zona6,"")</f>
        <v/>
      </c>
      <c r="C19" s="16">
        <v>0</v>
      </c>
      <c r="D19" s="17">
        <v>0</v>
      </c>
      <c r="E19" s="16">
        <v>0</v>
      </c>
      <c r="F19" s="17">
        <v>0</v>
      </c>
      <c r="G19" s="16">
        <v>0</v>
      </c>
      <c r="H19" s="17">
        <v>0</v>
      </c>
      <c r="I19" s="16">
        <v>0</v>
      </c>
      <c r="J19" s="17">
        <v>0</v>
      </c>
      <c r="K19" s="16">
        <v>0</v>
      </c>
      <c r="L19" s="17">
        <v>0</v>
      </c>
      <c r="M19" s="16">
        <v>0</v>
      </c>
      <c r="N19" s="17">
        <v>0</v>
      </c>
      <c r="O19" s="16">
        <v>0</v>
      </c>
      <c r="P19" s="17">
        <v>0</v>
      </c>
      <c r="Q19" s="16">
        <v>0</v>
      </c>
      <c r="R19" s="17">
        <v>0</v>
      </c>
      <c r="S19" s="16">
        <v>0</v>
      </c>
      <c r="T19" s="17">
        <v>0</v>
      </c>
      <c r="U19" s="16">
        <v>0</v>
      </c>
      <c r="V19" s="17">
        <v>0</v>
      </c>
      <c r="W19" s="16">
        <v>0</v>
      </c>
      <c r="X19" s="17">
        <v>0</v>
      </c>
      <c r="Y19" s="16">
        <v>0</v>
      </c>
      <c r="Z19" s="17">
        <v>0</v>
      </c>
      <c r="AA19" s="16">
        <v>0</v>
      </c>
      <c r="AB19" s="17">
        <v>0</v>
      </c>
      <c r="AC19" s="16">
        <v>0</v>
      </c>
      <c r="AD19" s="17">
        <v>0</v>
      </c>
    </row>
    <row r="20" hidden="1" spans="1:30">
      <c r="A20" s="14" t="s">
        <v>324</v>
      </c>
      <c r="B20" s="18"/>
      <c r="C20" s="19">
        <v>0</v>
      </c>
      <c r="D20" s="20">
        <v>0</v>
      </c>
      <c r="E20" s="19">
        <v>0</v>
      </c>
      <c r="F20" s="20">
        <v>0</v>
      </c>
      <c r="G20" s="19">
        <v>0</v>
      </c>
      <c r="H20" s="20">
        <v>0</v>
      </c>
      <c r="I20" s="19">
        <v>0</v>
      </c>
      <c r="J20" s="20">
        <v>0</v>
      </c>
      <c r="K20" s="19">
        <v>0</v>
      </c>
      <c r="L20" s="20">
        <v>0</v>
      </c>
      <c r="M20" s="19">
        <v>0</v>
      </c>
      <c r="N20" s="20">
        <v>0</v>
      </c>
      <c r="O20" s="19">
        <v>0</v>
      </c>
      <c r="P20" s="20">
        <v>0</v>
      </c>
      <c r="Q20" s="19">
        <v>0</v>
      </c>
      <c r="R20" s="20">
        <v>0</v>
      </c>
      <c r="S20" s="19">
        <v>0</v>
      </c>
      <c r="T20" s="20">
        <v>0</v>
      </c>
      <c r="U20" s="19">
        <v>0</v>
      </c>
      <c r="V20" s="20">
        <v>0</v>
      </c>
      <c r="W20" s="19">
        <v>0</v>
      </c>
      <c r="X20" s="20">
        <v>0</v>
      </c>
      <c r="Y20" s="19">
        <v>0</v>
      </c>
      <c r="Z20" s="20">
        <v>0</v>
      </c>
      <c r="AA20" s="19">
        <v>0</v>
      </c>
      <c r="AB20" s="20">
        <v>0</v>
      </c>
      <c r="AC20" s="19">
        <v>0</v>
      </c>
      <c r="AD20" s="20">
        <v>0</v>
      </c>
    </row>
    <row r="21" ht="12" hidden="1" customHeight="1" spans="1:30">
      <c r="A21" s="14" t="s">
        <v>40</v>
      </c>
      <c r="B21" s="21"/>
      <c r="C21" s="22">
        <v>0</v>
      </c>
      <c r="D21" s="23">
        <v>0</v>
      </c>
      <c r="E21" s="22">
        <v>0</v>
      </c>
      <c r="F21" s="23">
        <v>0</v>
      </c>
      <c r="G21" s="22">
        <v>0</v>
      </c>
      <c r="H21" s="23">
        <v>0</v>
      </c>
      <c r="I21" s="22">
        <v>0</v>
      </c>
      <c r="J21" s="23">
        <v>0</v>
      </c>
      <c r="K21" s="22">
        <v>0</v>
      </c>
      <c r="L21" s="23">
        <v>0</v>
      </c>
      <c r="M21" s="22">
        <v>0</v>
      </c>
      <c r="N21" s="23">
        <v>0</v>
      </c>
      <c r="O21" s="22">
        <v>0</v>
      </c>
      <c r="P21" s="23">
        <v>0</v>
      </c>
      <c r="Q21" s="22">
        <v>0</v>
      </c>
      <c r="R21" s="23">
        <v>0</v>
      </c>
      <c r="S21" s="22">
        <v>0</v>
      </c>
      <c r="T21" s="23">
        <v>0</v>
      </c>
      <c r="U21" s="22">
        <v>0</v>
      </c>
      <c r="V21" s="23">
        <v>0</v>
      </c>
      <c r="W21" s="22">
        <v>0</v>
      </c>
      <c r="X21" s="23">
        <v>0</v>
      </c>
      <c r="Y21" s="22">
        <v>0</v>
      </c>
      <c r="Z21" s="23">
        <v>0</v>
      </c>
      <c r="AA21" s="22">
        <v>0</v>
      </c>
      <c r="AB21" s="23">
        <v>0</v>
      </c>
      <c r="AC21" s="22">
        <v>0</v>
      </c>
      <c r="AD21" s="23">
        <v>0</v>
      </c>
    </row>
    <row r="22" hidden="1" spans="1:30">
      <c r="A22" s="14" t="s">
        <v>323</v>
      </c>
      <c r="B22" s="15" t="str">
        <f>IF(Zona7&lt;&gt;"",Zona7,"")</f>
        <v/>
      </c>
      <c r="C22" s="19"/>
      <c r="D22" s="20"/>
      <c r="E22" s="19"/>
      <c r="F22" s="20"/>
      <c r="G22" s="19"/>
      <c r="H22" s="20"/>
      <c r="I22" s="19"/>
      <c r="J22" s="20"/>
      <c r="K22" s="19"/>
      <c r="L22" s="20"/>
      <c r="M22" s="19"/>
      <c r="N22" s="24"/>
      <c r="O22" s="19"/>
      <c r="P22" s="24"/>
      <c r="Q22" s="19"/>
      <c r="R22" s="24"/>
      <c r="S22" s="19"/>
      <c r="T22" s="20"/>
      <c r="U22" s="19"/>
      <c r="V22" s="20"/>
      <c r="W22" s="19"/>
      <c r="X22" s="20"/>
      <c r="Y22" s="19"/>
      <c r="Z22" s="20"/>
      <c r="AA22" s="16"/>
      <c r="AB22" s="17"/>
      <c r="AC22" s="16"/>
      <c r="AD22" s="17"/>
    </row>
    <row r="23" hidden="1" spans="1:30">
      <c r="A23" s="14" t="s">
        <v>324</v>
      </c>
      <c r="B23" s="18"/>
      <c r="C23" s="19"/>
      <c r="D23" s="20"/>
      <c r="E23" s="19"/>
      <c r="F23" s="20"/>
      <c r="G23" s="19"/>
      <c r="H23" s="20"/>
      <c r="I23" s="19"/>
      <c r="J23" s="20"/>
      <c r="K23" s="19"/>
      <c r="L23" s="20"/>
      <c r="M23" s="19"/>
      <c r="N23" s="24"/>
      <c r="O23" s="19"/>
      <c r="P23" s="24"/>
      <c r="Q23" s="19"/>
      <c r="R23" s="24"/>
      <c r="S23" s="19"/>
      <c r="T23" s="20"/>
      <c r="U23" s="19"/>
      <c r="V23" s="20"/>
      <c r="W23" s="19"/>
      <c r="X23" s="20"/>
      <c r="Y23" s="19"/>
      <c r="Z23" s="20"/>
      <c r="AA23" s="19"/>
      <c r="AB23" s="20"/>
      <c r="AC23" s="19"/>
      <c r="AD23" s="20"/>
    </row>
    <row r="24" hidden="1" spans="1:30">
      <c r="A24" s="14" t="s">
        <v>40</v>
      </c>
      <c r="B24" s="21"/>
      <c r="C24" s="22"/>
      <c r="D24" s="23"/>
      <c r="E24" s="22"/>
      <c r="F24" s="23"/>
      <c r="G24" s="22"/>
      <c r="H24" s="23"/>
      <c r="I24" s="22"/>
      <c r="J24" s="23"/>
      <c r="K24" s="22"/>
      <c r="L24" s="23"/>
      <c r="M24" s="22"/>
      <c r="N24" s="25"/>
      <c r="O24" s="22"/>
      <c r="P24" s="25"/>
      <c r="Q24" s="22"/>
      <c r="R24" s="25"/>
      <c r="S24" s="22"/>
      <c r="T24" s="23"/>
      <c r="U24" s="22"/>
      <c r="V24" s="23"/>
      <c r="W24" s="22"/>
      <c r="X24" s="23"/>
      <c r="Y24" s="22"/>
      <c r="Z24" s="23"/>
      <c r="AA24" s="22"/>
      <c r="AB24" s="23"/>
      <c r="AC24" s="22"/>
      <c r="AD24" s="23"/>
    </row>
    <row r="25" hidden="1" spans="1:30">
      <c r="A25" s="14" t="s">
        <v>323</v>
      </c>
      <c r="B25" s="15" t="str">
        <f>IF(Zona8&lt;&gt;"",Zona8,"")</f>
        <v/>
      </c>
      <c r="C25" s="16"/>
      <c r="D25" s="20"/>
      <c r="E25" s="16"/>
      <c r="F25" s="17"/>
      <c r="G25" s="16"/>
      <c r="H25" s="17"/>
      <c r="I25" s="44"/>
      <c r="J25" s="17"/>
      <c r="K25" s="16"/>
      <c r="L25" s="17"/>
      <c r="M25" s="16"/>
      <c r="N25" s="44"/>
      <c r="O25" s="16"/>
      <c r="P25" s="44"/>
      <c r="Q25" s="16"/>
      <c r="R25" s="44"/>
      <c r="S25" s="16"/>
      <c r="T25" s="17"/>
      <c r="U25" s="16"/>
      <c r="V25" s="17"/>
      <c r="W25" s="16"/>
      <c r="X25" s="17"/>
      <c r="Y25" s="16"/>
      <c r="Z25" s="17"/>
      <c r="AA25" s="16"/>
      <c r="AB25" s="17"/>
      <c r="AC25" s="16"/>
      <c r="AD25" s="17"/>
    </row>
    <row r="26" hidden="1" spans="1:30">
      <c r="A26" s="14" t="s">
        <v>324</v>
      </c>
      <c r="B26" s="18"/>
      <c r="C26" s="19"/>
      <c r="D26" s="20"/>
      <c r="E26" s="19"/>
      <c r="F26" s="20"/>
      <c r="G26" s="19"/>
      <c r="H26" s="20"/>
      <c r="I26" s="19"/>
      <c r="J26" s="20"/>
      <c r="K26" s="19"/>
      <c r="L26" s="20"/>
      <c r="M26" s="19"/>
      <c r="N26" s="24"/>
      <c r="O26" s="19"/>
      <c r="P26" s="24"/>
      <c r="Q26" s="19"/>
      <c r="R26" s="24"/>
      <c r="S26" s="19"/>
      <c r="T26" s="20"/>
      <c r="U26" s="19"/>
      <c r="V26" s="20"/>
      <c r="W26" s="19"/>
      <c r="X26" s="20"/>
      <c r="Y26" s="19"/>
      <c r="Z26" s="20"/>
      <c r="AA26" s="19"/>
      <c r="AB26" s="20"/>
      <c r="AC26" s="19"/>
      <c r="AD26" s="20"/>
    </row>
    <row r="27" hidden="1" spans="1:30">
      <c r="A27" s="14" t="s">
        <v>40</v>
      </c>
      <c r="B27" s="21"/>
      <c r="C27" s="19"/>
      <c r="D27" s="23"/>
      <c r="E27" s="19"/>
      <c r="F27" s="20"/>
      <c r="G27" s="19"/>
      <c r="H27" s="20"/>
      <c r="I27" s="22"/>
      <c r="J27" s="23"/>
      <c r="K27" s="19"/>
      <c r="L27" s="20"/>
      <c r="M27" s="19"/>
      <c r="N27" s="24"/>
      <c r="O27" s="19"/>
      <c r="P27" s="24"/>
      <c r="Q27" s="19"/>
      <c r="R27" s="24"/>
      <c r="S27" s="19"/>
      <c r="T27" s="20"/>
      <c r="U27" s="19"/>
      <c r="V27" s="20"/>
      <c r="W27" s="19"/>
      <c r="X27" s="20"/>
      <c r="Y27" s="19"/>
      <c r="Z27" s="20"/>
      <c r="AA27" s="22"/>
      <c r="AB27" s="23"/>
      <c r="AC27" s="22"/>
      <c r="AD27" s="23"/>
    </row>
    <row r="28" hidden="1" spans="1:30">
      <c r="A28" s="14" t="s">
        <v>323</v>
      </c>
      <c r="B28" s="15" t="str">
        <f>IF(Zona9&lt;&gt;"",Zona9,"")</f>
        <v/>
      </c>
      <c r="C28" s="16"/>
      <c r="D28" s="20"/>
      <c r="E28" s="16"/>
      <c r="F28" s="17"/>
      <c r="G28" s="16"/>
      <c r="H28" s="17"/>
      <c r="I28" s="16"/>
      <c r="J28" s="17"/>
      <c r="K28" s="16"/>
      <c r="L28" s="17"/>
      <c r="M28" s="16"/>
      <c r="N28" s="44"/>
      <c r="O28" s="16"/>
      <c r="P28" s="44"/>
      <c r="Q28" s="16"/>
      <c r="R28" s="44"/>
      <c r="S28" s="16"/>
      <c r="T28" s="17"/>
      <c r="U28" s="16"/>
      <c r="V28" s="17"/>
      <c r="W28" s="16"/>
      <c r="X28" s="17"/>
      <c r="Y28" s="16"/>
      <c r="Z28" s="17"/>
      <c r="AA28" s="16"/>
      <c r="AB28" s="17"/>
      <c r="AC28" s="16"/>
      <c r="AD28" s="17"/>
    </row>
    <row r="29" hidden="1" spans="1:30">
      <c r="A29" s="14" t="s">
        <v>324</v>
      </c>
      <c r="B29" s="18"/>
      <c r="C29" s="19"/>
      <c r="D29" s="20"/>
      <c r="E29" s="19"/>
      <c r="F29" s="20"/>
      <c r="G29" s="19"/>
      <c r="H29" s="20"/>
      <c r="I29" s="19"/>
      <c r="J29" s="20"/>
      <c r="K29" s="19"/>
      <c r="L29" s="20"/>
      <c r="M29" s="19"/>
      <c r="N29" s="24"/>
      <c r="O29" s="19"/>
      <c r="P29" s="24"/>
      <c r="Q29" s="19"/>
      <c r="R29" s="24"/>
      <c r="S29" s="19"/>
      <c r="T29" s="20"/>
      <c r="U29" s="19"/>
      <c r="V29" s="20"/>
      <c r="W29" s="19"/>
      <c r="X29" s="20"/>
      <c r="Y29" s="19"/>
      <c r="Z29" s="20"/>
      <c r="AA29" s="19"/>
      <c r="AB29" s="20"/>
      <c r="AC29" s="19"/>
      <c r="AD29" s="20"/>
    </row>
    <row r="30" hidden="1" spans="1:30">
      <c r="A30" s="14" t="s">
        <v>40</v>
      </c>
      <c r="B30" s="21"/>
      <c r="C30" s="19"/>
      <c r="D30" s="23"/>
      <c r="E30" s="19"/>
      <c r="F30" s="20"/>
      <c r="G30" s="19"/>
      <c r="H30" s="20"/>
      <c r="I30" s="19"/>
      <c r="J30" s="20"/>
      <c r="K30" s="19"/>
      <c r="L30" s="20"/>
      <c r="M30" s="19"/>
      <c r="N30" s="24"/>
      <c r="O30" s="19"/>
      <c r="P30" s="24"/>
      <c r="Q30" s="19"/>
      <c r="R30" s="24"/>
      <c r="S30" s="19"/>
      <c r="T30" s="20"/>
      <c r="U30" s="19"/>
      <c r="V30" s="20"/>
      <c r="W30" s="19"/>
      <c r="X30" s="20"/>
      <c r="Y30" s="19"/>
      <c r="Z30" s="20"/>
      <c r="AA30" s="22"/>
      <c r="AB30" s="23"/>
      <c r="AC30" s="22"/>
      <c r="AD30" s="23"/>
    </row>
    <row r="31" hidden="1" spans="1:30">
      <c r="A31" s="14" t="s">
        <v>323</v>
      </c>
      <c r="B31" s="15" t="str">
        <f>IF(Zona10&lt;&gt;"",Zona10,"")</f>
        <v/>
      </c>
      <c r="C31" s="16"/>
      <c r="D31" s="20"/>
      <c r="E31" s="16"/>
      <c r="F31" s="17"/>
      <c r="G31" s="16"/>
      <c r="H31" s="17"/>
      <c r="I31" s="16"/>
      <c r="J31" s="17"/>
      <c r="K31" s="16"/>
      <c r="L31" s="17"/>
      <c r="M31" s="16"/>
      <c r="N31" s="44"/>
      <c r="O31" s="16"/>
      <c r="P31" s="44"/>
      <c r="Q31" s="16"/>
      <c r="R31" s="44"/>
      <c r="S31" s="16"/>
      <c r="T31" s="17"/>
      <c r="U31" s="16"/>
      <c r="V31" s="17"/>
      <c r="W31" s="16"/>
      <c r="X31" s="17"/>
      <c r="Y31" s="16"/>
      <c r="Z31" s="17"/>
      <c r="AA31" s="16"/>
      <c r="AB31" s="17"/>
      <c r="AC31" s="16"/>
      <c r="AD31" s="17"/>
    </row>
    <row r="32" hidden="1" spans="1:30">
      <c r="A32" s="14" t="s">
        <v>324</v>
      </c>
      <c r="B32" s="18"/>
      <c r="C32" s="19"/>
      <c r="D32" s="20"/>
      <c r="E32" s="19"/>
      <c r="F32" s="20"/>
      <c r="G32" s="19"/>
      <c r="H32" s="20"/>
      <c r="I32" s="19"/>
      <c r="J32" s="20"/>
      <c r="K32" s="19"/>
      <c r="L32" s="20"/>
      <c r="M32" s="19"/>
      <c r="N32" s="24"/>
      <c r="O32" s="19"/>
      <c r="P32" s="24"/>
      <c r="Q32" s="19"/>
      <c r="R32" s="24"/>
      <c r="S32" s="19"/>
      <c r="T32" s="20"/>
      <c r="U32" s="19"/>
      <c r="V32" s="20"/>
      <c r="W32" s="19"/>
      <c r="X32" s="20"/>
      <c r="Y32" s="19"/>
      <c r="Z32" s="20"/>
      <c r="AA32" s="19"/>
      <c r="AB32" s="20"/>
      <c r="AC32" s="19"/>
      <c r="AD32" s="20"/>
    </row>
    <row r="33" hidden="1" spans="1:30">
      <c r="A33" s="14" t="s">
        <v>40</v>
      </c>
      <c r="B33" s="21"/>
      <c r="C33" s="19"/>
      <c r="D33" s="23"/>
      <c r="E33" s="19"/>
      <c r="F33" s="20"/>
      <c r="G33" s="19"/>
      <c r="H33" s="20"/>
      <c r="I33" s="19"/>
      <c r="J33" s="20"/>
      <c r="K33" s="19"/>
      <c r="L33" s="20"/>
      <c r="M33" s="19"/>
      <c r="N33" s="24"/>
      <c r="O33" s="19"/>
      <c r="P33" s="24"/>
      <c r="Q33" s="19"/>
      <c r="R33" s="24"/>
      <c r="S33" s="19"/>
      <c r="T33" s="20"/>
      <c r="U33" s="19"/>
      <c r="V33" s="20"/>
      <c r="W33" s="19"/>
      <c r="X33" s="20"/>
      <c r="Y33" s="19"/>
      <c r="Z33" s="20"/>
      <c r="AA33" s="22"/>
      <c r="AB33" s="23"/>
      <c r="AC33" s="22"/>
      <c r="AD33" s="23"/>
    </row>
    <row r="34" hidden="1" spans="1:30">
      <c r="A34" s="14" t="s">
        <v>323</v>
      </c>
      <c r="B34" s="15" t="str">
        <f>IF(Zona11&lt;&gt;"",Zona11,"")</f>
        <v/>
      </c>
      <c r="C34" s="16"/>
      <c r="D34" s="20"/>
      <c r="E34" s="16"/>
      <c r="F34" s="17"/>
      <c r="G34" s="16"/>
      <c r="H34" s="17"/>
      <c r="I34" s="16"/>
      <c r="J34" s="17"/>
      <c r="K34" s="16"/>
      <c r="L34" s="17"/>
      <c r="M34" s="16"/>
      <c r="N34" s="44"/>
      <c r="O34" s="16"/>
      <c r="P34" s="44"/>
      <c r="Q34" s="16"/>
      <c r="R34" s="44"/>
      <c r="S34" s="16"/>
      <c r="T34" s="17"/>
      <c r="U34" s="16"/>
      <c r="V34" s="17"/>
      <c r="W34" s="16"/>
      <c r="X34" s="17"/>
      <c r="Y34" s="16"/>
      <c r="Z34" s="17"/>
      <c r="AA34" s="16"/>
      <c r="AB34" s="17"/>
      <c r="AC34" s="16"/>
      <c r="AD34" s="17"/>
    </row>
    <row r="35" hidden="1" spans="1:30">
      <c r="A35" s="14" t="s">
        <v>324</v>
      </c>
      <c r="B35" s="18"/>
      <c r="C35" s="19"/>
      <c r="D35" s="20"/>
      <c r="E35" s="19"/>
      <c r="F35" s="20"/>
      <c r="G35" s="19"/>
      <c r="H35" s="20"/>
      <c r="I35" s="19"/>
      <c r="J35" s="20"/>
      <c r="K35" s="19"/>
      <c r="L35" s="20"/>
      <c r="M35" s="19"/>
      <c r="N35" s="24"/>
      <c r="O35" s="19"/>
      <c r="P35" s="24"/>
      <c r="Q35" s="19"/>
      <c r="R35" s="24"/>
      <c r="S35" s="19"/>
      <c r="T35" s="20"/>
      <c r="U35" s="19"/>
      <c r="V35" s="20"/>
      <c r="W35" s="19"/>
      <c r="X35" s="20"/>
      <c r="Y35" s="19"/>
      <c r="Z35" s="20"/>
      <c r="AA35" s="19"/>
      <c r="AB35" s="20"/>
      <c r="AC35" s="19"/>
      <c r="AD35" s="20"/>
    </row>
    <row r="36" hidden="1" spans="1:30">
      <c r="A36" s="14" t="s">
        <v>40</v>
      </c>
      <c r="B36" s="21"/>
      <c r="C36" s="19"/>
      <c r="D36" s="23"/>
      <c r="E36" s="19"/>
      <c r="F36" s="20"/>
      <c r="G36" s="19"/>
      <c r="H36" s="20"/>
      <c r="I36" s="19"/>
      <c r="J36" s="20"/>
      <c r="K36" s="19"/>
      <c r="L36" s="20"/>
      <c r="M36" s="22"/>
      <c r="N36" s="25"/>
      <c r="O36" s="22"/>
      <c r="P36" s="25"/>
      <c r="Q36" s="22"/>
      <c r="R36" s="25"/>
      <c r="S36" s="22"/>
      <c r="T36" s="23"/>
      <c r="U36" s="22"/>
      <c r="V36" s="23"/>
      <c r="W36" s="22"/>
      <c r="X36" s="23"/>
      <c r="Y36" s="22"/>
      <c r="Z36" s="23"/>
      <c r="AA36" s="22"/>
      <c r="AB36" s="23"/>
      <c r="AC36" s="22"/>
      <c r="AD36" s="23"/>
    </row>
    <row r="37" hidden="1" spans="1:30">
      <c r="A37" s="14" t="s">
        <v>323</v>
      </c>
      <c r="B37" s="15" t="str">
        <f>IF(Zona12&lt;&gt;"",Zona12,"")</f>
        <v/>
      </c>
      <c r="C37" s="16"/>
      <c r="D37" s="20"/>
      <c r="E37" s="16"/>
      <c r="F37" s="17"/>
      <c r="G37" s="16"/>
      <c r="H37" s="17"/>
      <c r="I37" s="16"/>
      <c r="J37" s="17"/>
      <c r="K37" s="16"/>
      <c r="L37" s="17"/>
      <c r="M37" s="16"/>
      <c r="N37" s="44"/>
      <c r="O37" s="16"/>
      <c r="P37" s="44"/>
      <c r="Q37" s="16"/>
      <c r="R37" s="44"/>
      <c r="S37" s="16"/>
      <c r="T37" s="17"/>
      <c r="U37" s="16"/>
      <c r="V37" s="17"/>
      <c r="W37" s="16"/>
      <c r="X37" s="17"/>
      <c r="Y37" s="16"/>
      <c r="Z37" s="17"/>
      <c r="AA37" s="16"/>
      <c r="AB37" s="17"/>
      <c r="AC37" s="16"/>
      <c r="AD37" s="17"/>
    </row>
    <row r="38" hidden="1" spans="1:30">
      <c r="A38" s="14" t="s">
        <v>324</v>
      </c>
      <c r="B38" s="18"/>
      <c r="C38" s="19"/>
      <c r="D38" s="20"/>
      <c r="E38" s="19"/>
      <c r="F38" s="20"/>
      <c r="G38" s="19"/>
      <c r="H38" s="20"/>
      <c r="I38" s="19"/>
      <c r="J38" s="20"/>
      <c r="K38" s="19"/>
      <c r="L38" s="20"/>
      <c r="M38" s="19"/>
      <c r="N38" s="24"/>
      <c r="O38" s="19"/>
      <c r="P38" s="24"/>
      <c r="Q38" s="19"/>
      <c r="R38" s="24"/>
      <c r="S38" s="19"/>
      <c r="T38" s="20"/>
      <c r="U38" s="19"/>
      <c r="V38" s="20"/>
      <c r="W38" s="19"/>
      <c r="X38" s="20"/>
      <c r="Y38" s="19"/>
      <c r="Z38" s="20"/>
      <c r="AA38" s="19"/>
      <c r="AB38" s="20"/>
      <c r="AC38" s="19"/>
      <c r="AD38" s="20"/>
    </row>
    <row r="39" hidden="1" spans="1:30">
      <c r="A39" s="14" t="s">
        <v>40</v>
      </c>
      <c r="B39" s="21"/>
      <c r="C39" s="22"/>
      <c r="D39" s="23"/>
      <c r="E39" s="22"/>
      <c r="F39" s="23"/>
      <c r="G39" s="22"/>
      <c r="H39" s="23"/>
      <c r="I39" s="22"/>
      <c r="J39" s="23"/>
      <c r="K39" s="22"/>
      <c r="L39" s="23"/>
      <c r="M39" s="22"/>
      <c r="N39" s="25"/>
      <c r="O39" s="22"/>
      <c r="P39" s="25"/>
      <c r="Q39" s="22"/>
      <c r="R39" s="25"/>
      <c r="S39" s="22"/>
      <c r="T39" s="23"/>
      <c r="U39" s="22"/>
      <c r="V39" s="23"/>
      <c r="W39" s="22"/>
      <c r="X39" s="23"/>
      <c r="Y39" s="22"/>
      <c r="Z39" s="23"/>
      <c r="AA39" s="22"/>
      <c r="AB39" s="23"/>
      <c r="AC39" s="22"/>
      <c r="AD39" s="23"/>
    </row>
    <row r="40" hidden="1" spans="1:30">
      <c r="A40" s="14" t="s">
        <v>323</v>
      </c>
      <c r="B40" s="15" t="str">
        <f>IF(Zona13&lt;&gt;"",Zona13,"")</f>
        <v/>
      </c>
      <c r="C40" s="19"/>
      <c r="D40" s="20"/>
      <c r="E40" s="19"/>
      <c r="F40" s="20"/>
      <c r="G40" s="19"/>
      <c r="H40" s="20"/>
      <c r="I40" s="24"/>
      <c r="J40" s="20"/>
      <c r="K40" s="24"/>
      <c r="L40" s="20"/>
      <c r="M40" s="19"/>
      <c r="N40" s="24"/>
      <c r="O40" s="19"/>
      <c r="P40" s="24"/>
      <c r="Q40" s="19"/>
      <c r="R40" s="24"/>
      <c r="S40" s="19"/>
      <c r="T40" s="20"/>
      <c r="U40" s="19"/>
      <c r="V40" s="20"/>
      <c r="W40" s="19"/>
      <c r="X40" s="20"/>
      <c r="Y40" s="19"/>
      <c r="Z40" s="20"/>
      <c r="AA40" s="16"/>
      <c r="AB40" s="17"/>
      <c r="AC40" s="16"/>
      <c r="AD40" s="17"/>
    </row>
    <row r="41" hidden="1" spans="1:30">
      <c r="A41" s="14" t="s">
        <v>324</v>
      </c>
      <c r="B41" s="18"/>
      <c r="C41" s="19"/>
      <c r="D41" s="20"/>
      <c r="E41" s="19"/>
      <c r="F41" s="20"/>
      <c r="G41" s="19"/>
      <c r="H41" s="20"/>
      <c r="I41" s="24"/>
      <c r="J41" s="20"/>
      <c r="K41" s="24"/>
      <c r="L41" s="20"/>
      <c r="M41" s="19"/>
      <c r="N41" s="24"/>
      <c r="O41" s="19"/>
      <c r="P41" s="24"/>
      <c r="Q41" s="19"/>
      <c r="R41" s="24"/>
      <c r="S41" s="19"/>
      <c r="T41" s="20"/>
      <c r="U41" s="19"/>
      <c r="V41" s="20"/>
      <c r="W41" s="19"/>
      <c r="X41" s="20"/>
      <c r="Y41" s="19"/>
      <c r="Z41" s="20"/>
      <c r="AA41" s="19"/>
      <c r="AB41" s="20"/>
      <c r="AC41" s="19"/>
      <c r="AD41" s="20"/>
    </row>
    <row r="42" hidden="1" spans="1:30">
      <c r="A42" s="14" t="s">
        <v>40</v>
      </c>
      <c r="B42" s="21"/>
      <c r="C42" s="22"/>
      <c r="D42" s="23"/>
      <c r="E42" s="22"/>
      <c r="F42" s="23"/>
      <c r="G42" s="22"/>
      <c r="H42" s="23"/>
      <c r="I42" s="25"/>
      <c r="J42" s="23"/>
      <c r="K42" s="25"/>
      <c r="L42" s="23"/>
      <c r="M42" s="22"/>
      <c r="N42" s="25"/>
      <c r="O42" s="22"/>
      <c r="P42" s="25"/>
      <c r="Q42" s="22"/>
      <c r="R42" s="25"/>
      <c r="S42" s="22"/>
      <c r="T42" s="23"/>
      <c r="U42" s="22"/>
      <c r="V42" s="23"/>
      <c r="W42" s="22"/>
      <c r="X42" s="23"/>
      <c r="Y42" s="22"/>
      <c r="Z42" s="23"/>
      <c r="AA42" s="22"/>
      <c r="AB42" s="23"/>
      <c r="AC42" s="22"/>
      <c r="AD42" s="23"/>
    </row>
    <row r="43" hidden="1" spans="1:30">
      <c r="A43" s="14" t="s">
        <v>323</v>
      </c>
      <c r="B43" s="15" t="str">
        <f>IF(Zona14&lt;&gt;"",Zona14,"")</f>
        <v/>
      </c>
      <c r="C43" s="19"/>
      <c r="D43" s="20"/>
      <c r="E43" s="19"/>
      <c r="F43" s="20"/>
      <c r="G43" s="19"/>
      <c r="H43" s="20"/>
      <c r="I43" s="24"/>
      <c r="J43" s="20"/>
      <c r="K43" s="24"/>
      <c r="L43" s="20"/>
      <c r="M43" s="19"/>
      <c r="N43" s="24"/>
      <c r="O43" s="19"/>
      <c r="P43" s="24"/>
      <c r="Q43" s="19"/>
      <c r="R43" s="24"/>
      <c r="S43" s="19"/>
      <c r="T43" s="20"/>
      <c r="U43" s="19"/>
      <c r="V43" s="20"/>
      <c r="W43" s="19"/>
      <c r="X43" s="20"/>
      <c r="Y43" s="19"/>
      <c r="Z43" s="20"/>
      <c r="AA43" s="16"/>
      <c r="AB43" s="17"/>
      <c r="AC43" s="16"/>
      <c r="AD43" s="17"/>
    </row>
    <row r="44" hidden="1" spans="1:30">
      <c r="A44" s="14" t="s">
        <v>324</v>
      </c>
      <c r="B44" s="18"/>
      <c r="C44" s="19"/>
      <c r="D44" s="20"/>
      <c r="E44" s="19"/>
      <c r="F44" s="20"/>
      <c r="G44" s="19"/>
      <c r="H44" s="20"/>
      <c r="I44" s="24"/>
      <c r="J44" s="20"/>
      <c r="K44" s="24"/>
      <c r="L44" s="20"/>
      <c r="M44" s="19"/>
      <c r="N44" s="24"/>
      <c r="O44" s="19"/>
      <c r="P44" s="24"/>
      <c r="Q44" s="19"/>
      <c r="R44" s="24"/>
      <c r="S44" s="19"/>
      <c r="T44" s="20"/>
      <c r="U44" s="19"/>
      <c r="V44" s="20"/>
      <c r="W44" s="19"/>
      <c r="X44" s="20"/>
      <c r="Y44" s="19"/>
      <c r="Z44" s="20"/>
      <c r="AA44" s="19"/>
      <c r="AB44" s="20"/>
      <c r="AC44" s="19"/>
      <c r="AD44" s="20"/>
    </row>
    <row r="45" hidden="1" spans="1:30">
      <c r="A45" s="14" t="s">
        <v>40</v>
      </c>
      <c r="B45" s="21"/>
      <c r="C45" s="22"/>
      <c r="D45" s="23"/>
      <c r="E45" s="22"/>
      <c r="F45" s="23"/>
      <c r="G45" s="22"/>
      <c r="H45" s="23"/>
      <c r="I45" s="25"/>
      <c r="J45" s="23"/>
      <c r="K45" s="25"/>
      <c r="L45" s="23"/>
      <c r="M45" s="22"/>
      <c r="N45" s="25"/>
      <c r="O45" s="22"/>
      <c r="P45" s="25"/>
      <c r="Q45" s="22"/>
      <c r="R45" s="25"/>
      <c r="S45" s="22"/>
      <c r="T45" s="23"/>
      <c r="U45" s="22"/>
      <c r="V45" s="23"/>
      <c r="W45" s="22"/>
      <c r="X45" s="23"/>
      <c r="Y45" s="22"/>
      <c r="Z45" s="23"/>
      <c r="AA45" s="22"/>
      <c r="AB45" s="23"/>
      <c r="AC45" s="22"/>
      <c r="AD45" s="23"/>
    </row>
    <row r="46" hidden="1" spans="1:30">
      <c r="A46" s="14" t="s">
        <v>323</v>
      </c>
      <c r="B46" s="15" t="str">
        <f>IF(Zona15&lt;&gt;"",Zona15,"")</f>
        <v/>
      </c>
      <c r="C46" s="16"/>
      <c r="D46" s="17"/>
      <c r="E46" s="16"/>
      <c r="F46" s="17"/>
      <c r="G46" s="16"/>
      <c r="H46" s="17"/>
      <c r="I46" s="16"/>
      <c r="J46" s="17"/>
      <c r="K46" s="16"/>
      <c r="L46" s="17"/>
      <c r="M46" s="16"/>
      <c r="N46" s="44"/>
      <c r="O46" s="16"/>
      <c r="P46" s="44"/>
      <c r="Q46" s="16"/>
      <c r="R46" s="44"/>
      <c r="S46" s="16"/>
      <c r="T46" s="17"/>
      <c r="U46" s="16"/>
      <c r="V46" s="17"/>
      <c r="W46" s="16"/>
      <c r="X46" s="17"/>
      <c r="Y46" s="16"/>
      <c r="Z46" s="17"/>
      <c r="AA46" s="16"/>
      <c r="AB46" s="17"/>
      <c r="AC46" s="16"/>
      <c r="AD46" s="17"/>
    </row>
    <row r="47" hidden="1" spans="1:30">
      <c r="A47" s="14" t="s">
        <v>324</v>
      </c>
      <c r="B47" s="18"/>
      <c r="C47" s="24"/>
      <c r="D47" s="20"/>
      <c r="E47" s="24"/>
      <c r="F47" s="20"/>
      <c r="G47" s="24"/>
      <c r="H47" s="20"/>
      <c r="I47" s="24"/>
      <c r="J47" s="20"/>
      <c r="K47" s="24"/>
      <c r="L47" s="20"/>
      <c r="M47" s="24"/>
      <c r="N47" s="20"/>
      <c r="O47" s="24"/>
      <c r="P47" s="20"/>
      <c r="Q47" s="24"/>
      <c r="R47" s="20"/>
      <c r="S47" s="24"/>
      <c r="T47" s="20"/>
      <c r="U47" s="24"/>
      <c r="V47" s="20"/>
      <c r="W47" s="24"/>
      <c r="X47" s="20"/>
      <c r="Y47" s="24"/>
      <c r="Z47" s="20"/>
      <c r="AA47" s="19"/>
      <c r="AB47" s="20"/>
      <c r="AC47" s="19"/>
      <c r="AD47" s="20"/>
    </row>
    <row r="48" hidden="1" customHeight="1" spans="1:30">
      <c r="A48" s="14" t="s">
        <v>40</v>
      </c>
      <c r="B48" s="21"/>
      <c r="C48" s="25"/>
      <c r="D48" s="23"/>
      <c r="E48" s="22"/>
      <c r="F48" s="23"/>
      <c r="G48" s="22"/>
      <c r="H48" s="23"/>
      <c r="I48" s="22"/>
      <c r="J48" s="23"/>
      <c r="K48" s="22"/>
      <c r="L48" s="23"/>
      <c r="M48" s="22"/>
      <c r="N48" s="25"/>
      <c r="O48" s="22"/>
      <c r="P48" s="25"/>
      <c r="Q48" s="22"/>
      <c r="R48" s="23"/>
      <c r="S48" s="25"/>
      <c r="T48" s="23"/>
      <c r="U48" s="25"/>
      <c r="V48" s="23"/>
      <c r="W48" s="25"/>
      <c r="X48" s="23"/>
      <c r="Y48" s="25"/>
      <c r="Z48" s="23"/>
      <c r="AA48" s="22"/>
      <c r="AB48" s="23"/>
      <c r="AC48" s="22"/>
      <c r="AD48" s="23"/>
    </row>
    <row r="49" spans="1:30">
      <c r="A49" s="10"/>
      <c r="B49" s="26"/>
      <c r="C49" s="27"/>
      <c r="D49" s="27"/>
      <c r="E49" s="27"/>
      <c r="F49" s="27"/>
      <c r="G49" s="27"/>
      <c r="H49" s="27"/>
      <c r="I49" s="27"/>
      <c r="J49" s="27"/>
      <c r="K49" s="27"/>
      <c r="L49" s="27"/>
      <c r="M49" s="27"/>
      <c r="N49" s="27"/>
      <c r="O49" s="27"/>
      <c r="P49" s="27"/>
      <c r="Q49" s="27"/>
      <c r="R49" s="27"/>
      <c r="S49" s="27"/>
      <c r="T49" s="27"/>
      <c r="U49" s="27"/>
      <c r="V49" s="27"/>
      <c r="W49" s="27"/>
      <c r="X49" s="27"/>
      <c r="Y49" s="27"/>
      <c r="Z49" s="27"/>
      <c r="AA49" s="27"/>
      <c r="AB49" s="27"/>
      <c r="AC49" s="27"/>
      <c r="AD49" s="27"/>
    </row>
    <row r="50" spans="1:30">
      <c r="A50" s="10"/>
      <c r="B50" s="28"/>
      <c r="C50" s="28"/>
      <c r="D50" s="28"/>
      <c r="E50" s="28"/>
      <c r="F50" s="28"/>
      <c r="G50" s="28"/>
      <c r="H50" s="28"/>
      <c r="I50" s="28"/>
      <c r="J50" s="28"/>
      <c r="K50" s="28"/>
      <c r="L50" s="28"/>
      <c r="M50" s="28"/>
      <c r="N50" s="28"/>
      <c r="O50" s="28"/>
      <c r="P50" s="28"/>
      <c r="Q50" s="28"/>
      <c r="R50" s="28"/>
      <c r="S50" s="28"/>
      <c r="T50" s="49"/>
      <c r="U50" s="28"/>
      <c r="V50" s="49"/>
      <c r="W50" s="28"/>
      <c r="X50" s="49"/>
      <c r="Y50" s="28"/>
      <c r="Z50" s="49"/>
      <c r="AA50" s="49"/>
      <c r="AB50" s="49"/>
      <c r="AC50" s="49"/>
      <c r="AD50" s="49"/>
    </row>
    <row r="51" spans="1:30">
      <c r="A51" s="10"/>
      <c r="B51" s="29" t="s">
        <v>325</v>
      </c>
      <c r="C51" s="29"/>
      <c r="D51" s="29"/>
      <c r="E51" s="29"/>
      <c r="F51" s="29"/>
      <c r="G51" s="29"/>
      <c r="H51" s="29"/>
      <c r="I51" s="29"/>
      <c r="J51" s="29"/>
      <c r="K51" s="29"/>
      <c r="L51" s="29"/>
      <c r="M51" s="10"/>
      <c r="N51" s="10"/>
      <c r="O51" s="10"/>
      <c r="P51" s="10"/>
      <c r="Q51" s="10"/>
      <c r="R51" s="10"/>
      <c r="S51" s="50"/>
      <c r="T51" s="50"/>
      <c r="U51" s="50"/>
      <c r="V51" s="50"/>
      <c r="W51" s="50"/>
      <c r="X51" s="50"/>
      <c r="Y51" s="50"/>
      <c r="Z51" s="50"/>
      <c r="AA51" s="50"/>
      <c r="AB51" s="50"/>
      <c r="AC51" s="50"/>
      <c r="AD51" s="50"/>
    </row>
    <row r="52" spans="1:30">
      <c r="A52" s="10"/>
      <c r="B52" s="30" t="s">
        <v>326</v>
      </c>
      <c r="C52" s="31" t="s">
        <v>327</v>
      </c>
      <c r="D52" s="32"/>
      <c r="E52" s="32"/>
      <c r="F52" s="32"/>
      <c r="G52" s="32"/>
      <c r="H52" s="32"/>
      <c r="I52" s="32"/>
      <c r="J52" s="32"/>
      <c r="K52" s="32"/>
      <c r="L52" s="45"/>
      <c r="M52" s="28"/>
      <c r="N52" s="28"/>
      <c r="O52" s="28"/>
      <c r="P52" s="28"/>
      <c r="Q52" s="28"/>
      <c r="R52" s="28"/>
      <c r="S52" s="28"/>
      <c r="T52" s="28"/>
      <c r="U52" s="28"/>
      <c r="V52" s="28"/>
      <c r="W52" s="28"/>
      <c r="X52" s="28"/>
      <c r="Y52" s="28"/>
      <c r="Z52" s="28"/>
      <c r="AA52" s="28"/>
      <c r="AB52" s="28"/>
      <c r="AC52" s="28"/>
      <c r="AD52" s="28"/>
    </row>
    <row r="53" spans="1:30">
      <c r="A53" s="10"/>
      <c r="B53" s="33" t="s">
        <v>100</v>
      </c>
      <c r="C53" s="34" t="s">
        <v>328</v>
      </c>
      <c r="D53" s="35"/>
      <c r="E53" s="35"/>
      <c r="F53" s="35"/>
      <c r="G53" s="35"/>
      <c r="H53" s="35"/>
      <c r="I53" s="35"/>
      <c r="J53" s="35"/>
      <c r="K53" s="35"/>
      <c r="L53" s="46"/>
      <c r="M53" s="28"/>
      <c r="N53" s="28"/>
      <c r="O53" s="28"/>
      <c r="P53" s="28"/>
      <c r="Q53" s="28"/>
      <c r="R53" s="28"/>
      <c r="S53" s="28"/>
      <c r="T53" s="28"/>
      <c r="U53" s="28"/>
      <c r="V53" s="28"/>
      <c r="W53" s="28"/>
      <c r="X53" s="28"/>
      <c r="Y53" s="28"/>
      <c r="Z53" s="28"/>
      <c r="AA53" s="28"/>
      <c r="AB53" s="28"/>
      <c r="AC53" s="28"/>
      <c r="AD53" s="28"/>
    </row>
    <row r="54" spans="1:30">
      <c r="A54" s="10"/>
      <c r="B54" s="36" t="s">
        <v>329</v>
      </c>
      <c r="C54" s="37" t="s">
        <v>330</v>
      </c>
      <c r="D54" s="38"/>
      <c r="E54" s="38"/>
      <c r="F54" s="38"/>
      <c r="G54" s="38"/>
      <c r="H54" s="38"/>
      <c r="I54" s="38"/>
      <c r="J54" s="38"/>
      <c r="K54" s="38"/>
      <c r="L54" s="47"/>
      <c r="M54" s="28"/>
      <c r="N54" s="28"/>
      <c r="O54" s="28"/>
      <c r="P54" s="28"/>
      <c r="Q54" s="28"/>
      <c r="R54" s="28"/>
      <c r="S54" s="28"/>
      <c r="T54" s="28"/>
      <c r="U54" s="28"/>
      <c r="V54" s="28"/>
      <c r="W54" s="28"/>
      <c r="X54" s="28"/>
      <c r="Y54" s="28"/>
      <c r="Z54" s="28"/>
      <c r="AA54" s="28"/>
      <c r="AB54" s="28"/>
      <c r="AC54" s="28"/>
      <c r="AD54" s="28"/>
    </row>
    <row r="55" spans="1:30">
      <c r="A55" s="10"/>
      <c r="B55" s="36" t="s">
        <v>331</v>
      </c>
      <c r="C55" s="39" t="s">
        <v>332</v>
      </c>
      <c r="D55" s="40"/>
      <c r="E55" s="40"/>
      <c r="F55" s="40"/>
      <c r="G55" s="40"/>
      <c r="H55" s="40"/>
      <c r="I55" s="40"/>
      <c r="J55" s="40"/>
      <c r="K55" s="40"/>
      <c r="L55" s="48"/>
      <c r="M55" s="28"/>
      <c r="N55" s="28"/>
      <c r="O55" s="28"/>
      <c r="P55" s="28"/>
      <c r="Q55" s="28"/>
      <c r="R55" s="28"/>
      <c r="S55" s="28"/>
      <c r="T55" s="28"/>
      <c r="U55" s="28"/>
      <c r="V55" s="28"/>
      <c r="W55" s="28"/>
      <c r="X55" s="28"/>
      <c r="Y55" s="28"/>
      <c r="Z55" s="28"/>
      <c r="AA55" s="28"/>
      <c r="AB55" s="28"/>
      <c r="AC55" s="28"/>
      <c r="AD55" s="28"/>
    </row>
    <row r="56" spans="1:30">
      <c r="A56" s="10"/>
      <c r="B56" s="36" t="s">
        <v>333</v>
      </c>
      <c r="C56" s="37" t="s">
        <v>334</v>
      </c>
      <c r="D56" s="38"/>
      <c r="E56" s="38"/>
      <c r="F56" s="38"/>
      <c r="G56" s="38"/>
      <c r="H56" s="38"/>
      <c r="I56" s="38"/>
      <c r="J56" s="38"/>
      <c r="K56" s="38"/>
      <c r="L56" s="47"/>
      <c r="M56" s="28"/>
      <c r="N56" s="28"/>
      <c r="O56" s="28"/>
      <c r="P56" s="28"/>
      <c r="Q56" s="28"/>
      <c r="R56" s="28"/>
      <c r="S56" s="28"/>
      <c r="T56" s="28"/>
      <c r="U56" s="28"/>
      <c r="V56" s="28"/>
      <c r="W56" s="28"/>
      <c r="X56" s="28"/>
      <c r="Y56" s="28"/>
      <c r="Z56" s="28"/>
      <c r="AA56" s="28"/>
      <c r="AB56" s="28"/>
      <c r="AC56" s="28"/>
      <c r="AD56" s="28"/>
    </row>
    <row r="57" spans="1:30">
      <c r="A57" s="10"/>
      <c r="B57" s="36" t="s">
        <v>335</v>
      </c>
      <c r="C57" s="37" t="s">
        <v>336</v>
      </c>
      <c r="D57" s="38"/>
      <c r="E57" s="38"/>
      <c r="F57" s="38"/>
      <c r="G57" s="38"/>
      <c r="H57" s="38"/>
      <c r="I57" s="38"/>
      <c r="J57" s="38"/>
      <c r="K57" s="38"/>
      <c r="L57" s="47"/>
      <c r="M57" s="28"/>
      <c r="N57" s="28"/>
      <c r="O57" s="28"/>
      <c r="P57" s="28"/>
      <c r="Q57" s="28"/>
      <c r="R57" s="28"/>
      <c r="S57" s="28"/>
      <c r="T57" s="28"/>
      <c r="U57" s="28"/>
      <c r="V57" s="28"/>
      <c r="W57" s="28"/>
      <c r="X57" s="28"/>
      <c r="Y57" s="28"/>
      <c r="Z57" s="28"/>
      <c r="AA57" s="28"/>
      <c r="AB57" s="28"/>
      <c r="AC57" s="28"/>
      <c r="AD57" s="28"/>
    </row>
    <row r="58" spans="1:30">
      <c r="A58" s="10"/>
      <c r="B58" s="36" t="s">
        <v>337</v>
      </c>
      <c r="C58" s="37" t="s">
        <v>338</v>
      </c>
      <c r="D58" s="38"/>
      <c r="E58" s="38"/>
      <c r="F58" s="38"/>
      <c r="G58" s="38"/>
      <c r="H58" s="38"/>
      <c r="I58" s="38"/>
      <c r="J58" s="38"/>
      <c r="K58" s="38"/>
      <c r="L58" s="47"/>
      <c r="M58" s="28"/>
      <c r="N58" s="28"/>
      <c r="O58" s="28"/>
      <c r="P58" s="28"/>
      <c r="Q58" s="28"/>
      <c r="R58" s="28"/>
      <c r="S58" s="28"/>
      <c r="T58" s="28"/>
      <c r="U58" s="28"/>
      <c r="V58" s="28"/>
      <c r="W58" s="28"/>
      <c r="X58" s="28"/>
      <c r="Y58" s="28"/>
      <c r="Z58" s="28"/>
      <c r="AA58" s="28"/>
      <c r="AB58" s="28"/>
      <c r="AC58" s="28"/>
      <c r="AD58" s="28"/>
    </row>
    <row r="59" hidden="1" spans="1:30">
      <c r="A59" s="10"/>
      <c r="B59" s="36"/>
      <c r="C59" s="39"/>
      <c r="D59" s="40"/>
      <c r="E59" s="40"/>
      <c r="F59" s="40"/>
      <c r="G59" s="40"/>
      <c r="H59" s="40"/>
      <c r="I59" s="40"/>
      <c r="J59" s="40"/>
      <c r="K59" s="40"/>
      <c r="L59" s="48"/>
      <c r="M59" s="28"/>
      <c r="N59" s="10"/>
      <c r="O59" s="10"/>
      <c r="P59" s="10"/>
      <c r="Q59" s="10"/>
      <c r="R59" s="10"/>
      <c r="S59" s="10"/>
      <c r="T59" s="50"/>
      <c r="U59" s="10"/>
      <c r="V59" s="50"/>
      <c r="W59" s="10"/>
      <c r="X59" s="50"/>
      <c r="Y59" s="10"/>
      <c r="Z59" s="50"/>
      <c r="AA59" s="50"/>
      <c r="AB59" s="50"/>
      <c r="AC59" s="50"/>
      <c r="AD59" s="50"/>
    </row>
    <row r="60" hidden="1" spans="1:30">
      <c r="A60" s="28"/>
      <c r="B60" s="36"/>
      <c r="C60" s="39"/>
      <c r="D60" s="40"/>
      <c r="E60" s="40"/>
      <c r="F60" s="40"/>
      <c r="G60" s="40"/>
      <c r="H60" s="40"/>
      <c r="I60" s="40"/>
      <c r="J60" s="40"/>
      <c r="K60" s="40"/>
      <c r="L60" s="48"/>
      <c r="M60" s="10"/>
      <c r="N60" s="28"/>
      <c r="O60" s="28"/>
      <c r="P60" s="28"/>
      <c r="Q60" s="28"/>
      <c r="R60" s="28"/>
      <c r="S60" s="28"/>
      <c r="T60" s="49"/>
      <c r="U60" s="28"/>
      <c r="V60" s="49"/>
      <c r="W60" s="28"/>
      <c r="X60" s="49"/>
      <c r="Y60" s="28"/>
      <c r="Z60" s="49"/>
      <c r="AA60" s="49"/>
      <c r="AB60" s="49"/>
      <c r="AC60" s="49"/>
      <c r="AD60" s="49"/>
    </row>
    <row r="61" hidden="1" spans="1:30">
      <c r="A61" s="28"/>
      <c r="B61" s="36"/>
      <c r="C61" s="39"/>
      <c r="D61" s="40"/>
      <c r="E61" s="40"/>
      <c r="F61" s="40"/>
      <c r="G61" s="40"/>
      <c r="H61" s="40"/>
      <c r="I61" s="40"/>
      <c r="J61" s="40"/>
      <c r="K61" s="40"/>
      <c r="L61" s="48"/>
      <c r="M61" s="28"/>
      <c r="N61" s="49"/>
      <c r="O61" s="49"/>
      <c r="P61" s="49"/>
      <c r="Q61" s="49"/>
      <c r="R61" s="49"/>
      <c r="S61" s="49"/>
      <c r="T61" s="49"/>
      <c r="U61" s="49"/>
      <c r="V61" s="49"/>
      <c r="W61" s="49"/>
      <c r="X61" s="49"/>
      <c r="Y61" s="49"/>
      <c r="Z61" s="49"/>
      <c r="AA61" s="49"/>
      <c r="AB61" s="49"/>
      <c r="AC61" s="49"/>
      <c r="AD61" s="49"/>
    </row>
    <row r="62" hidden="1" spans="1:30">
      <c r="A62" s="28"/>
      <c r="B62" s="36"/>
      <c r="C62" s="39"/>
      <c r="D62" s="40"/>
      <c r="E62" s="40"/>
      <c r="F62" s="40"/>
      <c r="G62" s="40"/>
      <c r="H62" s="40"/>
      <c r="I62" s="40"/>
      <c r="J62" s="40"/>
      <c r="K62" s="40"/>
      <c r="L62" s="48"/>
      <c r="M62" s="49"/>
      <c r="O62" s="49"/>
      <c r="P62" s="49"/>
      <c r="Q62" s="49"/>
      <c r="R62" s="49"/>
      <c r="S62" s="49"/>
      <c r="T62" s="49"/>
      <c r="U62" s="49"/>
      <c r="V62" s="49"/>
      <c r="W62" s="49"/>
      <c r="X62" s="49"/>
      <c r="Y62" s="49"/>
      <c r="Z62" s="49"/>
      <c r="AA62" s="49"/>
      <c r="AB62" s="49"/>
      <c r="AC62" s="49"/>
      <c r="AD62" s="49"/>
    </row>
    <row r="63" hidden="1" spans="1:30">
      <c r="A63" s="28"/>
      <c r="B63" s="36"/>
      <c r="C63" s="39"/>
      <c r="D63" s="40"/>
      <c r="E63" s="40"/>
      <c r="F63" s="40"/>
      <c r="G63" s="40"/>
      <c r="H63" s="40"/>
      <c r="I63" s="40"/>
      <c r="J63" s="40"/>
      <c r="K63" s="40"/>
      <c r="L63" s="48"/>
      <c r="M63" s="49"/>
      <c r="O63" s="49"/>
      <c r="P63" s="49"/>
      <c r="Q63" s="49"/>
      <c r="R63" s="49"/>
      <c r="S63" s="49"/>
      <c r="T63" s="49"/>
      <c r="U63" s="49"/>
      <c r="V63" s="49"/>
      <c r="W63" s="49"/>
      <c r="X63" s="49"/>
      <c r="Y63" s="49"/>
      <c r="Z63" s="49"/>
      <c r="AA63" s="49"/>
      <c r="AB63" s="49"/>
      <c r="AC63" s="49"/>
      <c r="AD63" s="49"/>
    </row>
    <row r="64" hidden="1" spans="1:30">
      <c r="A64" s="28"/>
      <c r="B64" s="36"/>
      <c r="C64" s="39"/>
      <c r="D64" s="40"/>
      <c r="E64" s="40"/>
      <c r="F64" s="40"/>
      <c r="G64" s="40"/>
      <c r="H64" s="40"/>
      <c r="I64" s="40"/>
      <c r="J64" s="40"/>
      <c r="K64" s="40"/>
      <c r="L64" s="48"/>
      <c r="M64" s="49"/>
      <c r="O64" s="49"/>
      <c r="P64" s="49"/>
      <c r="Q64" s="49"/>
      <c r="R64" s="49"/>
      <c r="S64" s="49"/>
      <c r="T64" s="49"/>
      <c r="U64" s="49"/>
      <c r="V64" s="49"/>
      <c r="W64" s="49"/>
      <c r="X64" s="49"/>
      <c r="Y64" s="49"/>
      <c r="Z64" s="49"/>
      <c r="AA64" s="49"/>
      <c r="AB64" s="49"/>
      <c r="AC64" s="49"/>
      <c r="AD64" s="49"/>
    </row>
    <row r="65" hidden="1" spans="1:30">
      <c r="A65" s="28"/>
      <c r="B65" s="36"/>
      <c r="C65" s="39"/>
      <c r="D65" s="40"/>
      <c r="E65" s="40"/>
      <c r="F65" s="40"/>
      <c r="G65" s="40"/>
      <c r="H65" s="40"/>
      <c r="I65" s="40"/>
      <c r="J65" s="40"/>
      <c r="K65" s="40"/>
      <c r="L65" s="48"/>
      <c r="M65" s="49"/>
      <c r="O65" s="49"/>
      <c r="P65" s="49"/>
      <c r="Q65" s="49"/>
      <c r="R65" s="49"/>
      <c r="S65" s="49"/>
      <c r="T65" s="49"/>
      <c r="U65" s="49"/>
      <c r="V65" s="49"/>
      <c r="W65" s="49"/>
      <c r="X65" s="49"/>
      <c r="Y65" s="49"/>
      <c r="Z65" s="49"/>
      <c r="AA65" s="49"/>
      <c r="AB65" s="49"/>
      <c r="AC65" s="49"/>
      <c r="AD65" s="49"/>
    </row>
    <row r="66" hidden="1" spans="1:30">
      <c r="A66" s="28"/>
      <c r="B66" s="36"/>
      <c r="C66" s="39"/>
      <c r="D66" s="40"/>
      <c r="E66" s="40"/>
      <c r="F66" s="40"/>
      <c r="G66" s="40"/>
      <c r="H66" s="40"/>
      <c r="I66" s="40"/>
      <c r="J66" s="40"/>
      <c r="K66" s="40"/>
      <c r="L66" s="48"/>
      <c r="M66" s="49"/>
      <c r="O66" s="49"/>
      <c r="P66" s="49"/>
      <c r="Q66" s="49"/>
      <c r="R66" s="49"/>
      <c r="S66" s="49"/>
      <c r="T66" s="49"/>
      <c r="U66" s="49"/>
      <c r="V66" s="49"/>
      <c r="W66" s="49"/>
      <c r="X66" s="49"/>
      <c r="Y66" s="49"/>
      <c r="Z66" s="49"/>
      <c r="AA66" s="49"/>
      <c r="AB66" s="49"/>
      <c r="AC66" s="49"/>
      <c r="AD66" s="49"/>
    </row>
    <row r="67" hidden="1" spans="1:30">
      <c r="A67" s="28"/>
      <c r="B67" s="36"/>
      <c r="C67" s="39"/>
      <c r="D67" s="40"/>
      <c r="E67" s="40"/>
      <c r="F67" s="40"/>
      <c r="G67" s="40"/>
      <c r="H67" s="40"/>
      <c r="I67" s="40"/>
      <c r="J67" s="40"/>
      <c r="K67" s="40"/>
      <c r="L67" s="48"/>
      <c r="M67" s="49"/>
      <c r="O67" s="49"/>
      <c r="P67" s="49"/>
      <c r="Q67" s="49"/>
      <c r="R67" s="49"/>
      <c r="S67" s="49"/>
      <c r="T67" s="49"/>
      <c r="U67" s="49"/>
      <c r="V67" s="49"/>
      <c r="W67" s="49"/>
      <c r="X67" s="49"/>
      <c r="Y67" s="49"/>
      <c r="Z67" s="49"/>
      <c r="AA67" s="49"/>
      <c r="AB67" s="49"/>
      <c r="AC67" s="49"/>
      <c r="AD67" s="49"/>
    </row>
    <row r="68" spans="1:30">
      <c r="A68" s="28"/>
      <c r="B68" s="51"/>
      <c r="C68" s="52"/>
      <c r="D68" s="53"/>
      <c r="E68" s="53"/>
      <c r="F68" s="53"/>
      <c r="G68" s="53"/>
      <c r="H68" s="53"/>
      <c r="I68" s="53"/>
      <c r="J68" s="53"/>
      <c r="K68" s="53"/>
      <c r="L68" s="94"/>
      <c r="M68" s="49"/>
      <c r="O68" s="49"/>
      <c r="P68" s="49"/>
      <c r="Q68" s="49"/>
      <c r="R68" s="49"/>
      <c r="S68" s="49"/>
      <c r="T68" s="49"/>
      <c r="U68" s="49"/>
      <c r="V68" s="49"/>
      <c r="W68" s="49"/>
      <c r="X68" s="49"/>
      <c r="Y68" s="49"/>
      <c r="Z68" s="49"/>
      <c r="AA68" s="49"/>
      <c r="AB68" s="49"/>
      <c r="AC68" s="49"/>
      <c r="AD68" s="49"/>
    </row>
    <row r="69" spans="1:30">
      <c r="A69" s="28"/>
      <c r="B69" s="49"/>
      <c r="C69" s="49"/>
      <c r="D69" s="49"/>
      <c r="E69" s="49"/>
      <c r="F69" s="49"/>
      <c r="G69" s="28"/>
      <c r="H69" s="28"/>
      <c r="I69" s="28"/>
      <c r="J69" s="28"/>
      <c r="K69" s="28"/>
      <c r="L69" s="28"/>
      <c r="M69" s="28"/>
      <c r="O69" s="28"/>
      <c r="P69" s="28"/>
      <c r="Q69" s="28"/>
      <c r="R69" s="28"/>
      <c r="S69" s="28"/>
      <c r="T69" s="28"/>
      <c r="U69" s="28"/>
      <c r="V69" s="28"/>
      <c r="W69" s="28"/>
      <c r="X69" s="28"/>
      <c r="Y69" s="28"/>
      <c r="Z69" s="28"/>
      <c r="AA69" s="28"/>
      <c r="AB69" s="28"/>
      <c r="AC69" s="28"/>
      <c r="AD69" s="28"/>
    </row>
    <row r="70" spans="1:30">
      <c r="A70" s="28"/>
      <c r="B70" s="29" t="s">
        <v>339</v>
      </c>
      <c r="C70" s="29"/>
      <c r="D70" s="29"/>
      <c r="E70" s="29"/>
      <c r="F70" s="29"/>
      <c r="G70" s="29"/>
      <c r="H70" s="29"/>
      <c r="I70" s="29"/>
      <c r="J70" s="29"/>
      <c r="K70" s="29"/>
      <c r="L70" s="29"/>
      <c r="M70" s="28"/>
      <c r="O70" s="28"/>
      <c r="P70" s="28"/>
      <c r="Q70" s="28"/>
      <c r="R70" s="28"/>
      <c r="S70" s="28"/>
      <c r="T70" s="28"/>
      <c r="U70" s="28"/>
      <c r="V70" s="28"/>
      <c r="W70" s="28"/>
      <c r="X70" s="28"/>
      <c r="Y70" s="28"/>
      <c r="Z70" s="28"/>
      <c r="AA70" s="28"/>
      <c r="AB70" s="28"/>
      <c r="AC70" s="28"/>
      <c r="AD70" s="28"/>
    </row>
    <row r="71" spans="1:30">
      <c r="A71" s="28"/>
      <c r="B71" s="30" t="s">
        <v>326</v>
      </c>
      <c r="C71" s="31" t="s">
        <v>327</v>
      </c>
      <c r="D71" s="32"/>
      <c r="E71" s="32"/>
      <c r="F71" s="32"/>
      <c r="G71" s="32"/>
      <c r="H71" s="32"/>
      <c r="I71" s="32"/>
      <c r="J71" s="32"/>
      <c r="K71" s="32"/>
      <c r="L71" s="45"/>
      <c r="M71" s="28"/>
      <c r="O71" s="28"/>
      <c r="P71" s="28"/>
      <c r="Q71" s="28"/>
      <c r="R71" s="28"/>
      <c r="S71" s="28"/>
      <c r="T71" s="28"/>
      <c r="U71" s="28"/>
      <c r="V71" s="28"/>
      <c r="W71" s="28"/>
      <c r="X71" s="28"/>
      <c r="Y71" s="28"/>
      <c r="Z71" s="28"/>
      <c r="AA71" s="28"/>
      <c r="AB71" s="28"/>
      <c r="AC71" s="28"/>
      <c r="AD71" s="28"/>
    </row>
    <row r="72" spans="1:30">
      <c r="A72" s="28"/>
      <c r="B72" s="33">
        <v>1</v>
      </c>
      <c r="C72" s="54" t="s">
        <v>86</v>
      </c>
      <c r="D72" s="55"/>
      <c r="E72" s="55"/>
      <c r="F72" s="55"/>
      <c r="G72" s="55"/>
      <c r="H72" s="55"/>
      <c r="I72" s="55"/>
      <c r="J72" s="55"/>
      <c r="K72" s="55"/>
      <c r="L72" s="95"/>
      <c r="M72" s="28"/>
      <c r="O72" s="28"/>
      <c r="P72" s="28"/>
      <c r="Q72" s="28"/>
      <c r="R72" s="28"/>
      <c r="S72" s="28"/>
      <c r="T72" s="28"/>
      <c r="U72" s="28"/>
      <c r="V72" s="28"/>
      <c r="W72" s="28"/>
      <c r="X72" s="28"/>
      <c r="Y72" s="28"/>
      <c r="Z72" s="28"/>
      <c r="AA72" s="28"/>
      <c r="AB72" s="28"/>
      <c r="AC72" s="28"/>
      <c r="AD72" s="28"/>
    </row>
    <row r="73" spans="1:30">
      <c r="A73" s="28"/>
      <c r="B73" s="33">
        <v>2</v>
      </c>
      <c r="C73" s="56" t="s">
        <v>340</v>
      </c>
      <c r="D73" s="57"/>
      <c r="E73" s="57"/>
      <c r="F73" s="57"/>
      <c r="G73" s="57"/>
      <c r="H73" s="57"/>
      <c r="I73" s="57"/>
      <c r="J73" s="57"/>
      <c r="K73" s="57"/>
      <c r="L73" s="79"/>
      <c r="M73" s="28"/>
      <c r="O73" s="28"/>
      <c r="P73" s="28"/>
      <c r="Q73" s="28"/>
      <c r="R73" s="28"/>
      <c r="S73" s="28"/>
      <c r="T73" s="28"/>
      <c r="U73" s="28"/>
      <c r="V73" s="28"/>
      <c r="W73" s="28"/>
      <c r="X73" s="28"/>
      <c r="Y73" s="28"/>
      <c r="Z73" s="28"/>
      <c r="AA73" s="28"/>
      <c r="AB73" s="28"/>
      <c r="AC73" s="28"/>
      <c r="AD73" s="28"/>
    </row>
    <row r="74" spans="1:30">
      <c r="A74" s="28"/>
      <c r="B74" s="33">
        <v>3</v>
      </c>
      <c r="C74" s="56" t="s">
        <v>341</v>
      </c>
      <c r="D74" s="57"/>
      <c r="E74" s="57"/>
      <c r="F74" s="57"/>
      <c r="G74" s="57"/>
      <c r="H74" s="57"/>
      <c r="I74" s="57"/>
      <c r="J74" s="57"/>
      <c r="K74" s="57"/>
      <c r="L74" s="79"/>
      <c r="M74" s="28"/>
      <c r="O74" s="28"/>
      <c r="P74" s="28"/>
      <c r="Q74" s="28"/>
      <c r="R74" s="28"/>
      <c r="S74" s="28"/>
      <c r="T74" s="28"/>
      <c r="U74" s="28"/>
      <c r="V74" s="28"/>
      <c r="W74" s="28"/>
      <c r="X74" s="28"/>
      <c r="Y74" s="28"/>
      <c r="Z74" s="28"/>
      <c r="AA74" s="28"/>
      <c r="AB74" s="28"/>
      <c r="AC74" s="28"/>
      <c r="AD74" s="28"/>
    </row>
    <row r="75" spans="1:30">
      <c r="A75" s="28"/>
      <c r="B75" s="33">
        <v>4</v>
      </c>
      <c r="C75" s="56" t="s">
        <v>342</v>
      </c>
      <c r="D75" s="57"/>
      <c r="E75" s="57"/>
      <c r="F75" s="57"/>
      <c r="G75" s="57"/>
      <c r="H75" s="57"/>
      <c r="I75" s="57"/>
      <c r="J75" s="57"/>
      <c r="K75" s="57"/>
      <c r="L75" s="79"/>
      <c r="M75" s="28"/>
      <c r="O75" s="28"/>
      <c r="P75" s="28"/>
      <c r="Q75" s="28"/>
      <c r="R75" s="28"/>
      <c r="S75" s="28"/>
      <c r="T75" s="28"/>
      <c r="U75" s="28"/>
      <c r="V75" s="28"/>
      <c r="W75" s="28"/>
      <c r="X75" s="28"/>
      <c r="Y75" s="28"/>
      <c r="Z75" s="28"/>
      <c r="AA75" s="28"/>
      <c r="AB75" s="28"/>
      <c r="AC75" s="28"/>
      <c r="AD75" s="28"/>
    </row>
    <row r="76" spans="1:30">
      <c r="A76" s="28"/>
      <c r="B76" s="33">
        <v>5</v>
      </c>
      <c r="C76" s="56" t="s">
        <v>343</v>
      </c>
      <c r="D76" s="57"/>
      <c r="E76" s="57"/>
      <c r="F76" s="57"/>
      <c r="G76" s="57"/>
      <c r="H76" s="57"/>
      <c r="I76" s="57"/>
      <c r="J76" s="57"/>
      <c r="K76" s="57"/>
      <c r="L76" s="79"/>
      <c r="M76" s="28"/>
      <c r="O76" s="28"/>
      <c r="P76" s="28"/>
      <c r="Q76" s="28"/>
      <c r="R76" s="28"/>
      <c r="S76" s="28"/>
      <c r="T76" s="28"/>
      <c r="U76" s="28"/>
      <c r="V76" s="28"/>
      <c r="W76" s="28"/>
      <c r="X76" s="28"/>
      <c r="Y76" s="28"/>
      <c r="Z76" s="28"/>
      <c r="AA76" s="28"/>
      <c r="AB76" s="28"/>
      <c r="AC76" s="28"/>
      <c r="AD76" s="28"/>
    </row>
    <row r="77" spans="1:30">
      <c r="A77" s="28"/>
      <c r="B77" s="33">
        <v>6</v>
      </c>
      <c r="C77" s="56" t="s">
        <v>344</v>
      </c>
      <c r="D77" s="57"/>
      <c r="E77" s="57"/>
      <c r="F77" s="57"/>
      <c r="G77" s="57"/>
      <c r="H77" s="57"/>
      <c r="I77" s="57"/>
      <c r="J77" s="57"/>
      <c r="K77" s="57"/>
      <c r="L77" s="79"/>
      <c r="M77" s="28"/>
      <c r="O77" s="28"/>
      <c r="P77" s="28"/>
      <c r="Q77" s="28"/>
      <c r="R77" s="28"/>
      <c r="S77" s="28"/>
      <c r="T77" s="28"/>
      <c r="U77" s="28"/>
      <c r="V77" s="28"/>
      <c r="W77" s="28"/>
      <c r="X77" s="28"/>
      <c r="Y77" s="28"/>
      <c r="Z77" s="28"/>
      <c r="AA77" s="28"/>
      <c r="AB77" s="28"/>
      <c r="AC77" s="28"/>
      <c r="AD77" s="28"/>
    </row>
    <row r="78" spans="1:30">
      <c r="A78" s="28"/>
      <c r="B78" s="33">
        <v>7</v>
      </c>
      <c r="C78" s="56" t="s">
        <v>345</v>
      </c>
      <c r="D78" s="57"/>
      <c r="E78" s="57"/>
      <c r="F78" s="57"/>
      <c r="G78" s="57"/>
      <c r="H78" s="57"/>
      <c r="I78" s="57"/>
      <c r="J78" s="57"/>
      <c r="K78" s="57"/>
      <c r="L78" s="79"/>
      <c r="M78" s="28"/>
      <c r="O78" s="28"/>
      <c r="P78" s="28"/>
      <c r="Q78" s="28"/>
      <c r="R78" s="28"/>
      <c r="S78" s="28"/>
      <c r="T78" s="28"/>
      <c r="U78" s="28"/>
      <c r="V78" s="28"/>
      <c r="W78" s="28"/>
      <c r="X78" s="28"/>
      <c r="Y78" s="28"/>
      <c r="Z78" s="28"/>
      <c r="AA78" s="28"/>
      <c r="AB78" s="28"/>
      <c r="AC78" s="28"/>
      <c r="AD78" s="28"/>
    </row>
    <row r="79" spans="1:30">
      <c r="A79" s="28"/>
      <c r="B79" s="33">
        <v>8</v>
      </c>
      <c r="C79" s="56" t="s">
        <v>346</v>
      </c>
      <c r="D79" s="57"/>
      <c r="E79" s="57"/>
      <c r="F79" s="57"/>
      <c r="G79" s="57"/>
      <c r="H79" s="57"/>
      <c r="I79" s="57"/>
      <c r="J79" s="57"/>
      <c r="K79" s="57"/>
      <c r="L79" s="79"/>
      <c r="M79" s="28"/>
      <c r="O79" s="28"/>
      <c r="P79" s="28"/>
      <c r="Q79" s="28"/>
      <c r="R79" s="28"/>
      <c r="S79" s="28"/>
      <c r="T79" s="28"/>
      <c r="U79" s="28"/>
      <c r="V79" s="28"/>
      <c r="W79" s="28"/>
      <c r="X79" s="28"/>
      <c r="Y79" s="28"/>
      <c r="Z79" s="28"/>
      <c r="AA79" s="28"/>
      <c r="AB79" s="28"/>
      <c r="AC79" s="28"/>
      <c r="AD79" s="28"/>
    </row>
    <row r="80" spans="1:30">
      <c r="A80" s="28"/>
      <c r="B80" s="33">
        <v>9</v>
      </c>
      <c r="C80" s="56" t="s">
        <v>347</v>
      </c>
      <c r="D80" s="57"/>
      <c r="E80" s="57"/>
      <c r="F80" s="57"/>
      <c r="G80" s="57"/>
      <c r="H80" s="57"/>
      <c r="I80" s="57"/>
      <c r="J80" s="57"/>
      <c r="K80" s="57"/>
      <c r="L80" s="79"/>
      <c r="M80" s="28"/>
      <c r="O80" s="28"/>
      <c r="P80" s="28"/>
      <c r="Q80" s="28"/>
      <c r="R80" s="28"/>
      <c r="S80" s="28"/>
      <c r="T80" s="28"/>
      <c r="U80" s="28"/>
      <c r="V80" s="28"/>
      <c r="W80" s="28"/>
      <c r="X80" s="28"/>
      <c r="Y80" s="28"/>
      <c r="Z80" s="28"/>
      <c r="AA80" s="28"/>
      <c r="AB80" s="28"/>
      <c r="AC80" s="28"/>
      <c r="AD80" s="28"/>
    </row>
    <row r="81" spans="1:30">
      <c r="A81" s="28"/>
      <c r="B81" s="33">
        <v>10</v>
      </c>
      <c r="C81" s="56" t="s">
        <v>348</v>
      </c>
      <c r="D81" s="57"/>
      <c r="E81" s="57"/>
      <c r="F81" s="57"/>
      <c r="G81" s="57"/>
      <c r="H81" s="57"/>
      <c r="I81" s="57"/>
      <c r="J81" s="57"/>
      <c r="K81" s="57"/>
      <c r="L81" s="79"/>
      <c r="M81" s="28"/>
      <c r="O81" s="28"/>
      <c r="P81" s="28"/>
      <c r="Q81" s="28"/>
      <c r="R81" s="28"/>
      <c r="S81" s="28"/>
      <c r="T81" s="28"/>
      <c r="U81" s="28"/>
      <c r="V81" s="28"/>
      <c r="W81" s="28"/>
      <c r="X81" s="28"/>
      <c r="Y81" s="28"/>
      <c r="Z81" s="28"/>
      <c r="AA81" s="28"/>
      <c r="AB81" s="28"/>
      <c r="AC81" s="28"/>
      <c r="AD81" s="28"/>
    </row>
    <row r="82" spans="1:30">
      <c r="A82" s="28"/>
      <c r="B82" s="33">
        <v>11</v>
      </c>
      <c r="C82" s="56" t="s">
        <v>349</v>
      </c>
      <c r="D82" s="57"/>
      <c r="E82" s="57"/>
      <c r="F82" s="57"/>
      <c r="G82" s="57"/>
      <c r="H82" s="57"/>
      <c r="I82" s="57"/>
      <c r="J82" s="57"/>
      <c r="K82" s="57"/>
      <c r="L82" s="79"/>
      <c r="M82" s="28"/>
      <c r="O82" s="28"/>
      <c r="P82" s="28"/>
      <c r="Q82" s="28"/>
      <c r="R82" s="28"/>
      <c r="S82" s="28"/>
      <c r="T82" s="28"/>
      <c r="U82" s="28"/>
      <c r="V82" s="28"/>
      <c r="W82" s="28"/>
      <c r="X82" s="28"/>
      <c r="Y82" s="28"/>
      <c r="Z82" s="28"/>
      <c r="AA82" s="28"/>
      <c r="AB82" s="28"/>
      <c r="AC82" s="28"/>
      <c r="AD82" s="28"/>
    </row>
    <row r="83" spans="1:30">
      <c r="A83" s="28"/>
      <c r="B83" s="33">
        <v>12</v>
      </c>
      <c r="C83" s="56" t="s">
        <v>350</v>
      </c>
      <c r="D83" s="57"/>
      <c r="E83" s="57"/>
      <c r="F83" s="57"/>
      <c r="G83" s="57"/>
      <c r="H83" s="57"/>
      <c r="I83" s="57"/>
      <c r="J83" s="57"/>
      <c r="K83" s="57"/>
      <c r="L83" s="79"/>
      <c r="M83" s="28"/>
      <c r="O83" s="28"/>
      <c r="P83" s="28"/>
      <c r="Q83" s="28"/>
      <c r="R83" s="28"/>
      <c r="S83" s="28"/>
      <c r="T83" s="28"/>
      <c r="U83" s="28"/>
      <c r="V83" s="28"/>
      <c r="W83" s="28"/>
      <c r="X83" s="28"/>
      <c r="Y83" s="28"/>
      <c r="Z83" s="28"/>
      <c r="AA83" s="28"/>
      <c r="AB83" s="28"/>
      <c r="AC83" s="28"/>
      <c r="AD83" s="28"/>
    </row>
    <row r="84" customHeight="1" spans="1:30">
      <c r="A84" s="28"/>
      <c r="B84" s="58">
        <v>13</v>
      </c>
      <c r="C84" s="59" t="s">
        <v>351</v>
      </c>
      <c r="D84" s="60"/>
      <c r="E84" s="60"/>
      <c r="F84" s="60"/>
      <c r="G84" s="60"/>
      <c r="H84" s="60"/>
      <c r="I84" s="60"/>
      <c r="J84" s="60"/>
      <c r="K84" s="60"/>
      <c r="L84" s="96"/>
      <c r="M84" s="28"/>
      <c r="O84" s="28"/>
      <c r="P84" s="28"/>
      <c r="Q84" s="28"/>
      <c r="R84" s="28"/>
      <c r="S84" s="28"/>
      <c r="T84" s="28"/>
      <c r="U84" s="28"/>
      <c r="V84" s="28"/>
      <c r="W84" s="28"/>
      <c r="X84" s="28"/>
      <c r="Y84" s="28"/>
      <c r="Z84" s="28"/>
      <c r="AA84" s="28"/>
      <c r="AB84" s="28"/>
      <c r="AC84" s="28"/>
      <c r="AD84" s="28"/>
    </row>
    <row r="85" spans="1:30">
      <c r="A85" s="28"/>
      <c r="B85" s="49"/>
      <c r="C85" s="49"/>
      <c r="D85" s="49"/>
      <c r="E85" s="49"/>
      <c r="F85" s="49"/>
      <c r="G85" s="28"/>
      <c r="H85" s="28"/>
      <c r="I85" s="28"/>
      <c r="J85" s="28"/>
      <c r="K85" s="28"/>
      <c r="L85" s="28"/>
      <c r="M85" s="28"/>
      <c r="O85" s="28"/>
      <c r="P85" s="28"/>
      <c r="Q85" s="28"/>
      <c r="R85" s="28"/>
      <c r="S85" s="28"/>
      <c r="T85" s="28"/>
      <c r="U85" s="28"/>
      <c r="V85" s="28"/>
      <c r="W85" s="28"/>
      <c r="X85" s="28"/>
      <c r="Y85" s="28"/>
      <c r="Z85" s="28"/>
      <c r="AA85" s="28"/>
      <c r="AB85" s="28"/>
      <c r="AC85" s="28"/>
      <c r="AD85" s="28"/>
    </row>
    <row r="86" spans="1:30">
      <c r="A86" s="28"/>
      <c r="B86" s="61" t="s">
        <v>352</v>
      </c>
      <c r="C86" s="61"/>
      <c r="D86" s="61"/>
      <c r="E86" s="61"/>
      <c r="F86" s="61"/>
      <c r="G86" s="61"/>
      <c r="H86" s="61"/>
      <c r="I86" s="61"/>
      <c r="J86" s="61"/>
      <c r="K86" s="61"/>
      <c r="L86" s="61"/>
      <c r="P86" s="28"/>
      <c r="Q86" s="28"/>
      <c r="R86" s="28"/>
      <c r="S86" s="28"/>
      <c r="T86" s="28"/>
      <c r="U86" s="28"/>
      <c r="V86" s="28"/>
      <c r="W86" s="28"/>
      <c r="X86" s="28"/>
      <c r="Y86" s="28"/>
      <c r="Z86" s="28"/>
      <c r="AA86" s="28"/>
      <c r="AB86" s="28"/>
      <c r="AC86" s="28"/>
      <c r="AD86" s="28"/>
    </row>
    <row r="87" customHeight="1" spans="1:30">
      <c r="A87" s="28"/>
      <c r="B87" s="62" t="s">
        <v>326</v>
      </c>
      <c r="C87" s="31" t="s">
        <v>327</v>
      </c>
      <c r="D87" s="45"/>
      <c r="E87" s="63" t="s">
        <v>353</v>
      </c>
      <c r="F87" s="49"/>
      <c r="I87" s="97" t="s">
        <v>354</v>
      </c>
      <c r="P87" s="28"/>
      <c r="Q87" s="28"/>
      <c r="R87" s="28"/>
      <c r="S87" s="28"/>
      <c r="T87" s="28"/>
      <c r="U87" s="28"/>
      <c r="V87" s="28"/>
      <c r="W87" s="28"/>
      <c r="X87" s="28"/>
      <c r="Y87" s="28"/>
      <c r="Z87" s="28"/>
      <c r="AA87" s="28"/>
      <c r="AB87" s="28"/>
      <c r="AC87" s="28"/>
      <c r="AD87" s="28"/>
    </row>
    <row r="88" customHeight="1" spans="1:30">
      <c r="A88" s="28"/>
      <c r="B88" s="64" t="s">
        <v>100</v>
      </c>
      <c r="C88" s="65" t="s">
        <v>355</v>
      </c>
      <c r="D88" s="66"/>
      <c r="E88" s="67"/>
      <c r="F88" s="49"/>
      <c r="I88" s="97" t="s">
        <v>2</v>
      </c>
      <c r="P88" s="28"/>
      <c r="Q88" s="28"/>
      <c r="R88" s="28"/>
      <c r="S88" s="28"/>
      <c r="T88" s="28"/>
      <c r="U88" s="28"/>
      <c r="V88" s="28"/>
      <c r="W88" s="28"/>
      <c r="X88" s="28"/>
      <c r="Y88" s="28"/>
      <c r="Z88" s="28"/>
      <c r="AA88" s="28"/>
      <c r="AB88" s="28"/>
      <c r="AC88" s="28"/>
      <c r="AD88" s="28"/>
    </row>
    <row r="89" customHeight="1" spans="1:30">
      <c r="A89" s="28"/>
      <c r="B89" s="68">
        <v>1</v>
      </c>
      <c r="C89" s="69" t="s">
        <v>356</v>
      </c>
      <c r="D89" s="70"/>
      <c r="E89" s="71">
        <v>0</v>
      </c>
      <c r="F89" s="49"/>
      <c r="I89" s="97" t="s">
        <v>357</v>
      </c>
      <c r="P89" s="28"/>
      <c r="Q89" s="28"/>
      <c r="R89" s="28"/>
      <c r="S89" s="28"/>
      <c r="T89" s="28"/>
      <c r="U89" s="28"/>
      <c r="V89" s="28"/>
      <c r="W89" s="28"/>
      <c r="X89" s="28"/>
      <c r="Y89" s="28"/>
      <c r="Z89" s="28"/>
      <c r="AA89" s="28"/>
      <c r="AB89" s="28"/>
      <c r="AC89" s="28"/>
      <c r="AD89" s="28"/>
    </row>
    <row r="90" spans="1:30">
      <c r="A90" s="28"/>
      <c r="B90" s="68">
        <v>2</v>
      </c>
      <c r="C90" s="72" t="s">
        <v>358</v>
      </c>
      <c r="D90" s="73"/>
      <c r="E90" s="71">
        <v>0</v>
      </c>
      <c r="F90" s="49"/>
      <c r="I90" s="98"/>
      <c r="P90" s="28"/>
      <c r="Q90" s="28"/>
      <c r="R90" s="28"/>
      <c r="S90" s="28"/>
      <c r="T90" s="28"/>
      <c r="U90" s="28"/>
      <c r="V90" s="28"/>
      <c r="W90" s="28"/>
      <c r="X90" s="28"/>
      <c r="Y90" s="28"/>
      <c r="Z90" s="28"/>
      <c r="AA90" s="28"/>
      <c r="AB90" s="28"/>
      <c r="AC90" s="28"/>
      <c r="AD90" s="28"/>
    </row>
    <row r="91" spans="1:30">
      <c r="A91" s="28"/>
      <c r="B91" s="68">
        <v>3</v>
      </c>
      <c r="C91" s="72" t="s">
        <v>359</v>
      </c>
      <c r="D91" s="74"/>
      <c r="E91" s="71">
        <v>0</v>
      </c>
      <c r="F91" s="49"/>
      <c r="I91" s="98"/>
      <c r="P91" s="28"/>
      <c r="Q91" s="28"/>
      <c r="R91" s="28"/>
      <c r="S91" s="28"/>
      <c r="T91" s="28"/>
      <c r="U91" s="28"/>
      <c r="V91" s="28"/>
      <c r="W91" s="28"/>
      <c r="X91" s="28"/>
      <c r="Y91" s="28"/>
      <c r="Z91" s="28"/>
      <c r="AA91" s="28"/>
      <c r="AB91" s="28"/>
      <c r="AC91" s="28"/>
      <c r="AD91" s="28"/>
    </row>
    <row r="92" spans="1:30">
      <c r="A92" s="28"/>
      <c r="B92" s="75">
        <v>4</v>
      </c>
      <c r="C92" s="76" t="s">
        <v>360</v>
      </c>
      <c r="D92" s="77"/>
      <c r="E92" s="78">
        <v>0</v>
      </c>
      <c r="F92" s="49"/>
      <c r="P92" s="28"/>
      <c r="Q92" s="28"/>
      <c r="R92" s="28"/>
      <c r="S92" s="28"/>
      <c r="T92" s="28"/>
      <c r="U92" s="28"/>
      <c r="V92" s="28"/>
      <c r="W92" s="28"/>
      <c r="X92" s="28"/>
      <c r="Y92" s="28"/>
      <c r="Z92" s="28"/>
      <c r="AA92" s="28"/>
      <c r="AB92" s="28"/>
      <c r="AC92" s="28"/>
      <c r="AD92" s="28"/>
    </row>
    <row r="93" spans="1:30">
      <c r="A93" s="28"/>
      <c r="B93" s="49"/>
      <c r="C93" s="49"/>
      <c r="D93" s="49"/>
      <c r="E93" s="49"/>
      <c r="F93" s="49"/>
      <c r="G93" s="28"/>
      <c r="P93" s="28"/>
      <c r="Q93" s="28"/>
      <c r="R93" s="28"/>
      <c r="S93" s="28"/>
      <c r="T93" s="28"/>
      <c r="U93" s="28"/>
      <c r="V93" s="28"/>
      <c r="W93" s="28"/>
      <c r="X93" s="28"/>
      <c r="Y93" s="28"/>
      <c r="Z93" s="28"/>
      <c r="AA93" s="28"/>
      <c r="AB93" s="28"/>
      <c r="AC93" s="28"/>
      <c r="AD93" s="28"/>
    </row>
    <row r="94" spans="1:30">
      <c r="A94" s="28"/>
      <c r="B94" s="61" t="s">
        <v>361</v>
      </c>
      <c r="C94" s="61"/>
      <c r="D94" s="61"/>
      <c r="E94" s="61"/>
      <c r="F94" s="61"/>
      <c r="G94" s="61"/>
      <c r="H94" s="61"/>
      <c r="I94" s="61"/>
      <c r="J94" s="61"/>
      <c r="K94" s="61"/>
      <c r="L94" s="61"/>
      <c r="P94" s="28"/>
      <c r="Q94" s="28"/>
      <c r="R94" s="28"/>
      <c r="S94" s="28"/>
      <c r="T94" s="28"/>
      <c r="U94" s="28"/>
      <c r="V94" s="28"/>
      <c r="W94" s="28"/>
      <c r="X94" s="28"/>
      <c r="Y94" s="28"/>
      <c r="Z94" s="28"/>
      <c r="AA94" s="28"/>
      <c r="AB94" s="28"/>
      <c r="AC94" s="28"/>
      <c r="AD94" s="28"/>
    </row>
    <row r="95" spans="1:30">
      <c r="A95" s="28"/>
      <c r="B95" s="62" t="s">
        <v>326</v>
      </c>
      <c r="C95" s="31" t="s">
        <v>327</v>
      </c>
      <c r="D95" s="45"/>
      <c r="E95" s="63" t="s">
        <v>353</v>
      </c>
      <c r="F95" s="49"/>
      <c r="G95" s="28"/>
      <c r="H95" s="28"/>
      <c r="I95" s="28"/>
      <c r="J95" s="28"/>
      <c r="K95" s="28"/>
      <c r="L95" s="28"/>
      <c r="M95" s="28"/>
      <c r="N95" s="28"/>
      <c r="O95" s="28"/>
      <c r="P95" s="28"/>
      <c r="Q95" s="28"/>
      <c r="R95" s="28"/>
      <c r="S95" s="28"/>
      <c r="T95" s="28"/>
      <c r="U95" s="28"/>
      <c r="V95" s="28"/>
      <c r="W95" s="28"/>
      <c r="X95" s="28"/>
      <c r="Y95" s="28"/>
      <c r="Z95" s="28"/>
      <c r="AA95" s="28"/>
      <c r="AB95" s="28"/>
      <c r="AC95" s="28"/>
      <c r="AD95" s="28"/>
    </row>
    <row r="96" customHeight="1" spans="1:30">
      <c r="A96" s="28"/>
      <c r="B96" s="64" t="s">
        <v>100</v>
      </c>
      <c r="C96" s="34" t="s">
        <v>355</v>
      </c>
      <c r="D96" s="46"/>
      <c r="E96" s="67"/>
      <c r="F96" s="49"/>
      <c r="G96" s="28"/>
      <c r="H96" s="28"/>
      <c r="I96" s="28"/>
      <c r="J96" s="28"/>
      <c r="K96" s="28"/>
      <c r="L96" s="28"/>
      <c r="M96" s="28"/>
      <c r="N96" s="28"/>
      <c r="O96" s="28"/>
      <c r="P96" s="28"/>
      <c r="Q96" s="28"/>
      <c r="R96" s="28"/>
      <c r="S96" s="28"/>
      <c r="T96" s="28"/>
      <c r="U96" s="28"/>
      <c r="V96" s="28"/>
      <c r="W96" s="28"/>
      <c r="X96" s="28"/>
      <c r="Y96" s="28"/>
      <c r="Z96" s="28"/>
      <c r="AA96" s="28"/>
      <c r="AB96" s="28"/>
      <c r="AC96" s="28"/>
      <c r="AD96" s="28"/>
    </row>
    <row r="97" customHeight="1" spans="1:30">
      <c r="A97" s="28"/>
      <c r="B97" s="68">
        <v>1</v>
      </c>
      <c r="C97" s="37" t="s">
        <v>356</v>
      </c>
      <c r="D97" s="47"/>
      <c r="E97" s="71">
        <v>0</v>
      </c>
      <c r="F97" s="49"/>
      <c r="G97" s="28"/>
      <c r="H97" s="28"/>
      <c r="I97" s="28"/>
      <c r="J97" s="28"/>
      <c r="K97" s="28"/>
      <c r="L97" s="28"/>
      <c r="M97" s="28"/>
      <c r="N97" s="28"/>
      <c r="O97" s="28"/>
      <c r="P97" s="28"/>
      <c r="Q97" s="28"/>
      <c r="R97" s="28"/>
      <c r="S97" s="28"/>
      <c r="T97" s="28"/>
      <c r="U97" s="28"/>
      <c r="V97" s="28"/>
      <c r="W97" s="28"/>
      <c r="X97" s="28"/>
      <c r="Y97" s="28"/>
      <c r="Z97" s="28"/>
      <c r="AA97" s="28"/>
      <c r="AB97" s="28"/>
      <c r="AC97" s="28"/>
      <c r="AD97" s="28"/>
    </row>
    <row r="98" spans="1:30">
      <c r="A98" s="28"/>
      <c r="B98" s="68">
        <v>2</v>
      </c>
      <c r="C98" s="56" t="s">
        <v>358</v>
      </c>
      <c r="D98" s="79"/>
      <c r="E98" s="71">
        <v>0</v>
      </c>
      <c r="F98" s="49"/>
      <c r="G98" s="28"/>
      <c r="H98" s="28"/>
      <c r="I98" s="28"/>
      <c r="J98" s="28"/>
      <c r="K98" s="28"/>
      <c r="L98" s="28"/>
      <c r="M98" s="28"/>
      <c r="N98" s="28"/>
      <c r="O98" s="28"/>
      <c r="P98" s="28"/>
      <c r="Q98" s="28"/>
      <c r="R98" s="28"/>
      <c r="S98" s="28"/>
      <c r="T98" s="28"/>
      <c r="U98" s="28"/>
      <c r="V98" s="28"/>
      <c r="W98" s="28"/>
      <c r="X98" s="28"/>
      <c r="Y98" s="28"/>
      <c r="Z98" s="28"/>
      <c r="AA98" s="28"/>
      <c r="AB98" s="28"/>
      <c r="AC98" s="28"/>
      <c r="AD98" s="28"/>
    </row>
    <row r="99" spans="1:30">
      <c r="A99" s="28"/>
      <c r="B99" s="68">
        <v>3</v>
      </c>
      <c r="C99" s="56" t="s">
        <v>359</v>
      </c>
      <c r="D99" s="79"/>
      <c r="E99" s="71">
        <v>0</v>
      </c>
      <c r="F99" s="49"/>
      <c r="G99" s="28"/>
      <c r="H99" s="28"/>
      <c r="I99" s="28"/>
      <c r="J99" s="28"/>
      <c r="K99" s="28"/>
      <c r="L99" s="28"/>
      <c r="M99" s="28"/>
      <c r="N99" s="28"/>
      <c r="O99" s="28"/>
      <c r="P99" s="28"/>
      <c r="Q99" s="28"/>
      <c r="R99" s="28"/>
      <c r="S99" s="28"/>
      <c r="T99" s="28"/>
      <c r="U99" s="28"/>
      <c r="V99" s="28"/>
      <c r="W99" s="28"/>
      <c r="X99" s="28"/>
      <c r="Y99" s="28"/>
      <c r="Z99" s="28"/>
      <c r="AA99" s="28"/>
      <c r="AB99" s="28"/>
      <c r="AC99" s="28"/>
      <c r="AD99" s="28"/>
    </row>
    <row r="100" spans="1:30">
      <c r="A100" s="28"/>
      <c r="B100" s="75">
        <v>4</v>
      </c>
      <c r="C100" s="80" t="s">
        <v>360</v>
      </c>
      <c r="D100" s="81"/>
      <c r="E100" s="78">
        <v>0</v>
      </c>
      <c r="F100" s="49"/>
      <c r="G100" s="28"/>
      <c r="H100" s="28"/>
      <c r="I100" s="28"/>
      <c r="J100" s="28"/>
      <c r="K100" s="28"/>
      <c r="L100" s="28"/>
      <c r="M100" s="28"/>
      <c r="N100" s="28"/>
      <c r="O100" s="28"/>
      <c r="P100" s="28"/>
      <c r="Q100" s="28"/>
      <c r="R100" s="28"/>
      <c r="S100" s="28"/>
      <c r="T100" s="28"/>
      <c r="U100" s="28"/>
      <c r="V100" s="28"/>
      <c r="W100" s="28"/>
      <c r="X100" s="28"/>
      <c r="Y100" s="28"/>
      <c r="Z100" s="28"/>
      <c r="AA100" s="28"/>
      <c r="AB100" s="28"/>
      <c r="AC100" s="28"/>
      <c r="AD100" s="28"/>
    </row>
    <row r="101" spans="1:30">
      <c r="A101" s="28"/>
      <c r="B101" s="49"/>
      <c r="C101" s="49"/>
      <c r="D101" s="49"/>
      <c r="E101" s="49"/>
      <c r="F101" s="49"/>
      <c r="G101" s="28"/>
      <c r="H101" s="28"/>
      <c r="I101" s="28"/>
      <c r="J101" s="28"/>
      <c r="K101" s="28"/>
      <c r="L101" s="28"/>
      <c r="M101" s="28"/>
      <c r="N101" s="28"/>
      <c r="O101" s="28"/>
      <c r="P101" s="28"/>
      <c r="Q101" s="28"/>
      <c r="R101" s="28"/>
      <c r="S101" s="28"/>
      <c r="T101" s="28"/>
      <c r="U101" s="28"/>
      <c r="V101" s="28"/>
      <c r="W101" s="28"/>
      <c r="X101" s="28"/>
      <c r="Y101" s="28"/>
      <c r="Z101" s="28"/>
      <c r="AA101" s="28"/>
      <c r="AB101" s="28"/>
      <c r="AC101" s="28"/>
      <c r="AD101" s="28"/>
    </row>
    <row r="102" ht="39.95" customHeight="1" spans="1:30">
      <c r="A102" s="28"/>
      <c r="B102" s="31" t="s">
        <v>362</v>
      </c>
      <c r="C102" s="45"/>
      <c r="D102" s="28"/>
      <c r="E102" s="49"/>
      <c r="F102" s="28"/>
      <c r="I102" s="28"/>
      <c r="J102" s="28"/>
      <c r="K102" s="28"/>
      <c r="L102" s="28"/>
      <c r="M102" s="28"/>
      <c r="N102" s="28"/>
      <c r="O102" s="28"/>
      <c r="P102" s="28"/>
      <c r="Q102" s="28"/>
      <c r="R102" s="28"/>
      <c r="S102" s="28"/>
      <c r="T102" s="28"/>
      <c r="U102" s="28"/>
      <c r="V102" s="28"/>
      <c r="W102" s="28"/>
      <c r="X102" s="28"/>
      <c r="Y102" s="28"/>
      <c r="Z102" s="28"/>
      <c r="AA102" s="28"/>
      <c r="AB102" s="28"/>
      <c r="AC102" s="28"/>
      <c r="AD102" s="28"/>
    </row>
    <row r="103" ht="24" customHeight="1" spans="1:30">
      <c r="A103" s="82" t="s">
        <v>363</v>
      </c>
      <c r="B103" s="83">
        <v>487.94</v>
      </c>
      <c r="C103" s="84"/>
      <c r="D103" s="28"/>
      <c r="E103" s="49"/>
      <c r="F103" s="28"/>
      <c r="I103" s="28"/>
      <c r="J103" s="28"/>
      <c r="K103" s="28"/>
      <c r="L103" s="28"/>
      <c r="M103" s="28"/>
      <c r="N103" s="28"/>
      <c r="O103" s="28"/>
      <c r="P103" s="28"/>
      <c r="Q103" s="28"/>
      <c r="R103" s="28"/>
      <c r="S103" s="28"/>
      <c r="T103" s="28"/>
      <c r="U103" s="28"/>
      <c r="V103" s="28"/>
      <c r="W103" s="28"/>
      <c r="X103" s="28"/>
      <c r="Y103" s="28"/>
      <c r="Z103" s="28"/>
      <c r="AA103" s="28"/>
      <c r="AB103" s="28"/>
      <c r="AC103" s="28"/>
      <c r="AD103" s="28"/>
    </row>
    <row r="104" ht="24" customHeight="1" spans="1:30">
      <c r="A104" s="82" t="s">
        <v>364</v>
      </c>
      <c r="B104" s="83">
        <v>487.94</v>
      </c>
      <c r="C104" s="84"/>
      <c r="I104" s="28"/>
      <c r="J104" s="28"/>
      <c r="K104" s="28"/>
      <c r="L104" s="28"/>
      <c r="M104" s="28"/>
      <c r="N104" s="28"/>
      <c r="O104" s="28"/>
      <c r="P104" s="28"/>
      <c r="Q104" s="28"/>
      <c r="R104" s="28"/>
      <c r="S104" s="28"/>
      <c r="T104" s="28"/>
      <c r="U104" s="28"/>
      <c r="V104" s="28"/>
      <c r="W104" s="28"/>
      <c r="X104" s="28"/>
      <c r="Y104" s="28"/>
      <c r="Z104" s="28"/>
      <c r="AA104" s="28"/>
      <c r="AB104" s="28"/>
      <c r="AC104" s="28"/>
      <c r="AD104" s="28"/>
    </row>
    <row r="105" ht="24" customHeight="1" spans="1:30">
      <c r="A105" s="85" t="s">
        <v>365</v>
      </c>
      <c r="B105" s="83">
        <v>487.94</v>
      </c>
      <c r="C105" s="84"/>
      <c r="I105" s="28"/>
      <c r="J105" s="28"/>
      <c r="K105" s="28"/>
      <c r="L105" s="28"/>
      <c r="M105" s="28"/>
      <c r="N105" s="28"/>
      <c r="O105" s="28"/>
      <c r="P105" s="28"/>
      <c r="Q105" s="28"/>
      <c r="R105" s="28"/>
      <c r="S105" s="28"/>
      <c r="T105" s="28"/>
      <c r="U105" s="28"/>
      <c r="V105" s="28"/>
      <c r="W105" s="28"/>
      <c r="X105" s="28"/>
      <c r="Y105" s="28"/>
      <c r="Z105" s="28"/>
      <c r="AA105" s="28"/>
      <c r="AB105" s="28"/>
      <c r="AC105" s="28"/>
      <c r="AD105" s="28"/>
    </row>
    <row r="106" spans="1:30">
      <c r="A106" s="28"/>
      <c r="I106" s="28"/>
      <c r="J106" s="28"/>
      <c r="K106" s="28"/>
      <c r="L106" s="28"/>
      <c r="M106" s="28"/>
      <c r="N106" s="28"/>
      <c r="O106" s="28"/>
      <c r="P106" s="28"/>
      <c r="Q106" s="28"/>
      <c r="R106" s="28"/>
      <c r="S106" s="28"/>
      <c r="T106" s="28"/>
      <c r="U106" s="28"/>
      <c r="V106" s="28"/>
      <c r="W106" s="28"/>
      <c r="X106" s="28"/>
      <c r="Y106" s="28"/>
      <c r="Z106" s="28"/>
      <c r="AA106" s="28"/>
      <c r="AB106" s="28"/>
      <c r="AC106" s="28"/>
      <c r="AD106" s="28"/>
    </row>
    <row r="107" ht="39.95" customHeight="1" spans="1:30">
      <c r="A107" s="28"/>
      <c r="B107" s="31" t="s">
        <v>366</v>
      </c>
      <c r="C107" s="45"/>
      <c r="I107" s="28"/>
      <c r="J107" s="28"/>
      <c r="K107" s="28"/>
      <c r="L107" s="28"/>
      <c r="M107" s="28"/>
      <c r="N107" s="28"/>
      <c r="O107" s="28"/>
      <c r="P107" s="28"/>
      <c r="Q107" s="28"/>
      <c r="R107" s="28"/>
      <c r="S107" s="28"/>
      <c r="T107" s="28"/>
      <c r="U107" s="28"/>
      <c r="V107" s="28"/>
      <c r="W107" s="28"/>
      <c r="X107" s="28"/>
      <c r="Y107" s="28"/>
      <c r="Z107" s="28"/>
      <c r="AA107" s="28"/>
      <c r="AB107" s="28"/>
      <c r="AC107" s="28"/>
      <c r="AD107" s="28"/>
    </row>
    <row r="108" ht="25.5" spans="1:30">
      <c r="A108" s="28"/>
      <c r="B108" s="30" t="s">
        <v>367</v>
      </c>
      <c r="C108" s="30" t="s">
        <v>368</v>
      </c>
      <c r="I108" s="28"/>
      <c r="J108" s="28"/>
      <c r="K108" s="28"/>
      <c r="L108" s="28"/>
      <c r="M108" s="28"/>
      <c r="N108" s="28"/>
      <c r="O108" s="28"/>
      <c r="P108" s="28"/>
      <c r="Q108" s="28"/>
      <c r="R108" s="28"/>
      <c r="S108" s="28"/>
      <c r="T108" s="28"/>
      <c r="U108" s="28"/>
      <c r="V108" s="28"/>
      <c r="W108" s="28"/>
      <c r="X108" s="28"/>
      <c r="Y108" s="28"/>
      <c r="Z108" s="28"/>
      <c r="AA108" s="28"/>
      <c r="AB108" s="28"/>
      <c r="AC108" s="28"/>
      <c r="AD108" s="28"/>
    </row>
    <row r="109" spans="1:30">
      <c r="A109" s="28"/>
      <c r="B109" s="86">
        <v>0.1</v>
      </c>
      <c r="C109" s="86">
        <v>0.1</v>
      </c>
      <c r="I109" s="28"/>
      <c r="J109" s="28"/>
      <c r="K109" s="28"/>
      <c r="L109" s="28"/>
      <c r="M109" s="28"/>
      <c r="N109" s="28"/>
      <c r="O109" s="28"/>
      <c r="P109" s="28"/>
      <c r="Q109" s="28"/>
      <c r="R109" s="28"/>
      <c r="S109" s="28"/>
      <c r="T109" s="28"/>
      <c r="U109" s="28"/>
      <c r="V109" s="28"/>
      <c r="W109" s="28"/>
      <c r="X109" s="28"/>
      <c r="Y109" s="28"/>
      <c r="Z109" s="28"/>
      <c r="AA109" s="28"/>
      <c r="AB109" s="28"/>
      <c r="AC109" s="28"/>
      <c r="AD109" s="28"/>
    </row>
    <row r="110" spans="1:30">
      <c r="A110" s="10"/>
      <c r="B110" s="87"/>
      <c r="C110" s="49"/>
      <c r="I110" s="10"/>
      <c r="J110" s="10"/>
      <c r="K110" s="10"/>
      <c r="L110" s="10"/>
      <c r="M110" s="10"/>
      <c r="N110" s="10"/>
      <c r="O110" s="10"/>
      <c r="P110" s="10"/>
      <c r="Q110" s="10"/>
      <c r="R110" s="10"/>
      <c r="S110" s="10"/>
      <c r="T110" s="10"/>
      <c r="U110" s="10"/>
      <c r="V110" s="10"/>
      <c r="W110" s="10"/>
      <c r="X110" s="10"/>
      <c r="Y110" s="10"/>
      <c r="Z110" s="10"/>
      <c r="AA110" s="10"/>
      <c r="AB110" s="10"/>
      <c r="AC110" s="10"/>
      <c r="AD110" s="10"/>
    </row>
    <row r="111" ht="50.1" customHeight="1" spans="1:30">
      <c r="A111" s="28"/>
      <c r="B111" s="31" t="s">
        <v>369</v>
      </c>
      <c r="C111" s="45"/>
      <c r="I111" s="28"/>
      <c r="J111" s="28"/>
      <c r="K111" s="28"/>
      <c r="L111" s="28"/>
      <c r="M111" s="28"/>
      <c r="N111" s="28"/>
      <c r="O111" s="28"/>
      <c r="P111" s="28"/>
      <c r="Q111" s="28"/>
      <c r="R111" s="28"/>
      <c r="S111" s="28"/>
      <c r="T111" s="28"/>
      <c r="U111" s="28"/>
      <c r="V111" s="28"/>
      <c r="W111" s="28"/>
      <c r="X111" s="28"/>
      <c r="Y111" s="28"/>
      <c r="Z111" s="28"/>
      <c r="AA111" s="28"/>
      <c r="AB111" s="28"/>
      <c r="AC111" s="28"/>
      <c r="AD111" s="28"/>
    </row>
    <row r="112" ht="24.95" customHeight="1" spans="1:30">
      <c r="A112" s="28"/>
      <c r="B112" s="30" t="s">
        <v>370</v>
      </c>
      <c r="C112" s="30" t="s">
        <v>371</v>
      </c>
      <c r="I112" s="28"/>
      <c r="J112" s="28"/>
      <c r="K112" s="28"/>
      <c r="L112" s="28"/>
      <c r="M112" s="28"/>
      <c r="N112" s="28"/>
      <c r="O112" s="28"/>
      <c r="P112" s="28"/>
      <c r="Q112" s="28"/>
      <c r="R112" s="28"/>
      <c r="S112" s="28"/>
      <c r="T112" s="28"/>
      <c r="U112" s="28"/>
      <c r="V112" s="28"/>
      <c r="W112" s="28"/>
      <c r="X112" s="28"/>
      <c r="Y112" s="28"/>
      <c r="Z112" s="28"/>
      <c r="AA112" s="28"/>
      <c r="AB112" s="28"/>
      <c r="AC112" s="28"/>
      <c r="AD112" s="28"/>
    </row>
    <row r="113" spans="1:30">
      <c r="A113" s="28"/>
      <c r="B113" s="86">
        <v>0.2</v>
      </c>
      <c r="C113" s="86">
        <v>0.2</v>
      </c>
      <c r="I113" s="28"/>
      <c r="J113" s="28"/>
      <c r="K113" s="28"/>
      <c r="L113" s="28"/>
      <c r="M113" s="28"/>
      <c r="N113" s="28"/>
      <c r="O113" s="28"/>
      <c r="P113" s="28"/>
      <c r="Q113" s="28"/>
      <c r="R113" s="28"/>
      <c r="S113" s="28"/>
      <c r="T113" s="28"/>
      <c r="U113" s="28"/>
      <c r="V113" s="28"/>
      <c r="W113" s="28"/>
      <c r="X113" s="28"/>
      <c r="Y113" s="28"/>
      <c r="Z113" s="28"/>
      <c r="AA113" s="28"/>
      <c r="AB113" s="28"/>
      <c r="AC113" s="28"/>
      <c r="AD113" s="28"/>
    </row>
    <row r="114" spans="1:30">
      <c r="A114" s="28"/>
      <c r="B114" s="88"/>
      <c r="C114" s="28"/>
      <c r="I114" s="28"/>
      <c r="J114" s="28"/>
      <c r="K114" s="28"/>
      <c r="L114" s="28"/>
      <c r="M114" s="28"/>
      <c r="N114" s="28"/>
      <c r="O114" s="28"/>
      <c r="P114" s="28"/>
      <c r="Q114" s="28"/>
      <c r="R114" s="28"/>
      <c r="S114" s="28"/>
      <c r="T114" s="28"/>
      <c r="U114" s="28"/>
      <c r="V114" s="28"/>
      <c r="W114" s="28"/>
      <c r="X114" s="28"/>
      <c r="Y114" s="28"/>
      <c r="Z114" s="28"/>
      <c r="AA114" s="28"/>
      <c r="AB114" s="28"/>
      <c r="AC114" s="28"/>
      <c r="AD114" s="28"/>
    </row>
    <row r="115" ht="24.95" customHeight="1" spans="1:30">
      <c r="A115" s="28"/>
      <c r="B115" s="31" t="s">
        <v>372</v>
      </c>
      <c r="C115" s="45"/>
      <c r="I115" s="28"/>
      <c r="J115" s="28"/>
      <c r="K115" s="28"/>
      <c r="L115" s="28"/>
      <c r="M115" s="28"/>
      <c r="N115" s="28"/>
      <c r="O115" s="28"/>
      <c r="P115" s="28"/>
      <c r="Q115" s="28"/>
      <c r="R115" s="28"/>
      <c r="S115" s="28"/>
      <c r="T115" s="28"/>
      <c r="U115" s="28"/>
      <c r="V115" s="28"/>
      <c r="W115" s="28"/>
      <c r="X115" s="28"/>
      <c r="Y115" s="28"/>
      <c r="Z115" s="28"/>
      <c r="AA115" s="28"/>
      <c r="AB115" s="28"/>
      <c r="AC115" s="28"/>
      <c r="AD115" s="28"/>
    </row>
    <row r="116" ht="24.95" customHeight="1" spans="2:6">
      <c r="B116" s="30" t="s">
        <v>370</v>
      </c>
      <c r="C116" s="30" t="s">
        <v>371</v>
      </c>
      <c r="D116" s="89"/>
      <c r="E116" s="28"/>
      <c r="F116" s="28"/>
    </row>
    <row r="117" spans="2:6">
      <c r="B117" s="86">
        <v>0</v>
      </c>
      <c r="C117" s="86">
        <v>0</v>
      </c>
      <c r="D117" s="89"/>
      <c r="E117" s="28"/>
      <c r="F117" s="28"/>
    </row>
    <row r="118" customHeight="1" spans="2:6">
      <c r="B118" s="28"/>
      <c r="C118" s="28"/>
      <c r="D118" s="89"/>
      <c r="E118" s="28"/>
      <c r="F118" s="28"/>
    </row>
    <row r="119" ht="36.95" customHeight="1" spans="1:30">
      <c r="A119" s="28"/>
      <c r="B119" s="31" t="s">
        <v>373</v>
      </c>
      <c r="C119" s="45"/>
      <c r="I119" s="28"/>
      <c r="J119" s="28"/>
      <c r="K119" s="28"/>
      <c r="L119" s="28"/>
      <c r="M119" s="28"/>
      <c r="N119" s="28"/>
      <c r="O119" s="28"/>
      <c r="P119" s="28"/>
      <c r="Q119" s="28"/>
      <c r="R119" s="28"/>
      <c r="S119" s="28"/>
      <c r="T119" s="28"/>
      <c r="U119" s="28"/>
      <c r="V119" s="28"/>
      <c r="W119" s="28"/>
      <c r="X119" s="28"/>
      <c r="Y119" s="28"/>
      <c r="Z119" s="28"/>
      <c r="AA119" s="28"/>
      <c r="AB119" s="28"/>
      <c r="AC119" s="28"/>
      <c r="AD119" s="28"/>
    </row>
    <row r="120" ht="24.95" customHeight="1" spans="2:6">
      <c r="B120" s="31" t="s">
        <v>374</v>
      </c>
      <c r="C120" s="45"/>
      <c r="D120" s="89"/>
      <c r="E120" s="28"/>
      <c r="F120" s="28"/>
    </row>
    <row r="121" spans="2:6">
      <c r="B121" s="90">
        <v>0.5</v>
      </c>
      <c r="C121" s="91"/>
      <c r="D121" s="89"/>
      <c r="E121" s="28"/>
      <c r="F121" s="28"/>
    </row>
    <row r="122" spans="4:6">
      <c r="D122" s="89"/>
      <c r="E122" s="28"/>
      <c r="F122" s="28"/>
    </row>
    <row r="123" ht="24.95" customHeight="1" spans="2:6">
      <c r="B123" s="31" t="s">
        <v>375</v>
      </c>
      <c r="C123" s="45"/>
      <c r="D123" s="89"/>
      <c r="E123" s="28"/>
      <c r="F123" s="28"/>
    </row>
    <row r="124" spans="2:6">
      <c r="B124" s="92">
        <v>5</v>
      </c>
      <c r="C124" s="93"/>
      <c r="D124" s="89"/>
      <c r="E124" s="28"/>
      <c r="F124" s="28"/>
    </row>
    <row r="125" spans="4:6">
      <c r="D125" s="89"/>
      <c r="E125" s="28"/>
      <c r="F125" s="28"/>
    </row>
    <row r="126" ht="39.95" customHeight="1" spans="2:6">
      <c r="B126" s="31" t="s">
        <v>376</v>
      </c>
      <c r="C126" s="45"/>
      <c r="D126" s="89"/>
      <c r="E126" s="28"/>
      <c r="F126" s="28"/>
    </row>
    <row r="127" ht="25.5" spans="2:6">
      <c r="B127" s="30" t="s">
        <v>370</v>
      </c>
      <c r="C127" s="30" t="s">
        <v>371</v>
      </c>
      <c r="D127" s="89"/>
      <c r="E127" s="28"/>
      <c r="F127" s="28"/>
    </row>
    <row r="128" spans="2:6">
      <c r="B128" s="86">
        <v>0</v>
      </c>
      <c r="C128" s="86">
        <v>0</v>
      </c>
      <c r="D128" s="89"/>
      <c r="E128" s="28"/>
      <c r="F128" s="28"/>
    </row>
    <row r="129" spans="2:6">
      <c r="B129" s="99"/>
      <c r="C129" s="99"/>
      <c r="D129" s="89"/>
      <c r="E129" s="28"/>
      <c r="F129" s="28"/>
    </row>
    <row r="130" ht="54.95" customHeight="1" spans="2:6">
      <c r="B130" s="31" t="s">
        <v>377</v>
      </c>
      <c r="C130" s="45"/>
      <c r="D130" s="89"/>
      <c r="E130" s="28"/>
      <c r="F130" s="28"/>
    </row>
    <row r="131" spans="2:6">
      <c r="B131" s="90" t="s">
        <v>102</v>
      </c>
      <c r="C131" s="91"/>
      <c r="D131" s="89"/>
      <c r="E131" s="28"/>
      <c r="F131" s="28"/>
    </row>
    <row r="132" spans="2:6">
      <c r="B132" s="100">
        <v>0.05</v>
      </c>
      <c r="C132" s="101"/>
      <c r="D132" s="89"/>
      <c r="E132" s="28"/>
      <c r="F132" s="28"/>
    </row>
    <row r="133" spans="2:6">
      <c r="B133" s="100">
        <v>0.3</v>
      </c>
      <c r="C133" s="101"/>
      <c r="D133" s="89"/>
      <c r="E133" s="28"/>
      <c r="F133" s="28"/>
    </row>
    <row r="134" spans="4:6">
      <c r="D134" s="89"/>
      <c r="E134" s="28"/>
      <c r="F134" s="28"/>
    </row>
    <row r="135" spans="2:12">
      <c r="B135" s="102" t="s">
        <v>378</v>
      </c>
      <c r="C135" s="103" t="s">
        <v>379</v>
      </c>
      <c r="D135" s="104"/>
      <c r="E135" s="104"/>
      <c r="F135" s="104"/>
      <c r="G135" s="105"/>
      <c r="H135" s="106"/>
      <c r="I135" s="106"/>
      <c r="J135" s="106"/>
      <c r="K135" s="106"/>
      <c r="L135" s="106"/>
    </row>
    <row r="136" spans="2:8">
      <c r="B136" s="107" t="s">
        <v>380</v>
      </c>
      <c r="C136" s="107"/>
      <c r="D136" s="107"/>
      <c r="E136" s="107"/>
      <c r="F136" s="107"/>
      <c r="G136" s="107"/>
      <c r="H136" s="28"/>
    </row>
    <row r="137" spans="2:8">
      <c r="B137" s="108"/>
      <c r="C137" s="108"/>
      <c r="D137" s="108"/>
      <c r="E137" s="108"/>
      <c r="F137" s="108"/>
      <c r="G137" s="108"/>
      <c r="H137" s="28"/>
    </row>
    <row r="138" ht="25.5" spans="2:7">
      <c r="B138" s="30" t="s">
        <v>212</v>
      </c>
      <c r="C138" s="30" t="s">
        <v>381</v>
      </c>
      <c r="D138" s="30" t="s">
        <v>382</v>
      </c>
      <c r="E138" s="109" t="s">
        <v>253</v>
      </c>
      <c r="F138" s="30" t="s">
        <v>68</v>
      </c>
      <c r="G138" s="30" t="s">
        <v>6</v>
      </c>
    </row>
    <row r="139" spans="2:7">
      <c r="B139" s="110" t="s">
        <v>158</v>
      </c>
      <c r="C139" s="111">
        <v>0</v>
      </c>
      <c r="D139" s="112">
        <v>5</v>
      </c>
      <c r="E139" s="113">
        <v>0</v>
      </c>
      <c r="F139" s="114">
        <v>6</v>
      </c>
      <c r="G139" s="115">
        <v>5</v>
      </c>
    </row>
    <row r="140" spans="2:7">
      <c r="B140" s="116" t="s">
        <v>159</v>
      </c>
      <c r="C140" s="117">
        <f t="shared" ref="C140:C149" si="0">D139+0.0000001</f>
        <v>5.0000001</v>
      </c>
      <c r="D140" s="118">
        <v>10</v>
      </c>
      <c r="E140" s="119">
        <v>5</v>
      </c>
      <c r="F140" s="120">
        <v>6</v>
      </c>
      <c r="G140" s="121">
        <v>5</v>
      </c>
    </row>
    <row r="141" spans="2:7">
      <c r="B141" s="116" t="s">
        <v>160</v>
      </c>
      <c r="C141" s="117">
        <f t="shared" si="0"/>
        <v>10.0000001</v>
      </c>
      <c r="D141" s="118">
        <v>15</v>
      </c>
      <c r="E141" s="119">
        <v>10</v>
      </c>
      <c r="F141" s="120">
        <v>6</v>
      </c>
      <c r="G141" s="121">
        <v>5</v>
      </c>
    </row>
    <row r="142" spans="2:7">
      <c r="B142" s="116" t="s">
        <v>161</v>
      </c>
      <c r="C142" s="117">
        <f t="shared" si="0"/>
        <v>15.0000001</v>
      </c>
      <c r="D142" s="118">
        <v>20</v>
      </c>
      <c r="E142" s="119">
        <v>15</v>
      </c>
      <c r="F142" s="120">
        <v>8</v>
      </c>
      <c r="G142" s="121">
        <v>6</v>
      </c>
    </row>
    <row r="143" spans="2:7">
      <c r="B143" s="116" t="s">
        <v>162</v>
      </c>
      <c r="C143" s="117">
        <f t="shared" si="0"/>
        <v>20.0000001</v>
      </c>
      <c r="D143" s="118">
        <v>25</v>
      </c>
      <c r="E143" s="119">
        <v>20</v>
      </c>
      <c r="F143" s="120">
        <v>8</v>
      </c>
      <c r="G143" s="121">
        <v>6</v>
      </c>
    </row>
    <row r="144" spans="2:7">
      <c r="B144" s="116" t="s">
        <v>383</v>
      </c>
      <c r="C144" s="117">
        <f t="shared" si="0"/>
        <v>25.0000001</v>
      </c>
      <c r="D144" s="118">
        <v>30</v>
      </c>
      <c r="E144" s="119">
        <v>25</v>
      </c>
      <c r="F144" s="120">
        <v>8</v>
      </c>
      <c r="G144" s="121">
        <v>6</v>
      </c>
    </row>
    <row r="145" spans="2:7">
      <c r="B145" s="116" t="s">
        <v>384</v>
      </c>
      <c r="C145" s="117">
        <f t="shared" si="0"/>
        <v>30.0000001</v>
      </c>
      <c r="D145" s="118">
        <v>35</v>
      </c>
      <c r="E145" s="119">
        <v>30</v>
      </c>
      <c r="F145" s="120">
        <v>8</v>
      </c>
      <c r="G145" s="121">
        <v>6</v>
      </c>
    </row>
    <row r="146" spans="2:7">
      <c r="B146" s="116" t="s">
        <v>385</v>
      </c>
      <c r="C146" s="117">
        <f t="shared" si="0"/>
        <v>35.0000001</v>
      </c>
      <c r="D146" s="118">
        <v>40</v>
      </c>
      <c r="E146" s="119">
        <v>35</v>
      </c>
      <c r="F146" s="120">
        <v>8</v>
      </c>
      <c r="G146" s="121">
        <v>6</v>
      </c>
    </row>
    <row r="147" spans="2:7">
      <c r="B147" s="116" t="s">
        <v>386</v>
      </c>
      <c r="C147" s="117">
        <f t="shared" si="0"/>
        <v>40.0000001</v>
      </c>
      <c r="D147" s="118">
        <v>45</v>
      </c>
      <c r="E147" s="119">
        <v>40</v>
      </c>
      <c r="F147" s="120">
        <v>18</v>
      </c>
      <c r="G147" s="121">
        <v>10</v>
      </c>
    </row>
    <row r="148" spans="2:7">
      <c r="B148" s="116" t="s">
        <v>189</v>
      </c>
      <c r="C148" s="117">
        <f t="shared" si="0"/>
        <v>45.0000001</v>
      </c>
      <c r="D148" s="118">
        <v>50</v>
      </c>
      <c r="E148" s="119">
        <v>45</v>
      </c>
      <c r="F148" s="120">
        <v>18</v>
      </c>
      <c r="G148" s="121">
        <v>10</v>
      </c>
    </row>
    <row r="149" customHeight="1" spans="2:7">
      <c r="B149" s="122" t="s">
        <v>387</v>
      </c>
      <c r="C149" s="123">
        <f t="shared" si="0"/>
        <v>50.0000001</v>
      </c>
      <c r="D149" s="124">
        <v>999999</v>
      </c>
      <c r="E149" s="125">
        <v>50</v>
      </c>
      <c r="F149" s="126">
        <v>18</v>
      </c>
      <c r="G149" s="127">
        <v>10</v>
      </c>
    </row>
    <row r="150" customHeight="1" spans="2:7">
      <c r="B150" s="107" t="s">
        <v>388</v>
      </c>
      <c r="C150" s="107"/>
      <c r="D150" s="107"/>
      <c r="E150" s="107"/>
      <c r="F150" s="107"/>
      <c r="G150" s="107"/>
    </row>
    <row r="151" spans="2:7">
      <c r="B151" s="108"/>
      <c r="C151" s="108"/>
      <c r="D151" s="108"/>
      <c r="E151" s="108"/>
      <c r="F151" s="108"/>
      <c r="G151" s="108"/>
    </row>
    <row r="152" ht="25.5" spans="2:7">
      <c r="B152" s="128" t="s">
        <v>212</v>
      </c>
      <c r="C152" s="128" t="s">
        <v>381</v>
      </c>
      <c r="D152" s="128" t="s">
        <v>382</v>
      </c>
      <c r="E152" s="129" t="s">
        <v>253</v>
      </c>
      <c r="F152" s="128" t="s">
        <v>68</v>
      </c>
      <c r="G152" s="128" t="s">
        <v>6</v>
      </c>
    </row>
    <row r="153" spans="2:7">
      <c r="B153" s="110" t="s">
        <v>158</v>
      </c>
      <c r="C153" s="130">
        <v>0</v>
      </c>
      <c r="D153" s="131">
        <v>5</v>
      </c>
      <c r="E153" s="113">
        <v>0</v>
      </c>
      <c r="F153" s="113">
        <v>7</v>
      </c>
      <c r="G153" s="132">
        <v>5</v>
      </c>
    </row>
    <row r="154" spans="2:7">
      <c r="B154" s="133" t="s">
        <v>159</v>
      </c>
      <c r="C154" s="134">
        <f t="shared" ref="C154:C163" si="1">D153+0.0000001</f>
        <v>5.0000001</v>
      </c>
      <c r="D154" s="135">
        <v>10</v>
      </c>
      <c r="E154" s="119">
        <v>5</v>
      </c>
      <c r="F154" s="119">
        <v>7</v>
      </c>
      <c r="G154" s="136">
        <v>5</v>
      </c>
    </row>
    <row r="155" spans="2:7">
      <c r="B155" s="133" t="s">
        <v>160</v>
      </c>
      <c r="C155" s="134">
        <f t="shared" si="1"/>
        <v>10.0000001</v>
      </c>
      <c r="D155" s="135">
        <v>15</v>
      </c>
      <c r="E155" s="119">
        <v>10</v>
      </c>
      <c r="F155" s="119">
        <v>7</v>
      </c>
      <c r="G155" s="136">
        <v>5</v>
      </c>
    </row>
    <row r="156" spans="2:7">
      <c r="B156" s="133" t="s">
        <v>161</v>
      </c>
      <c r="C156" s="134">
        <f t="shared" si="1"/>
        <v>15.0000001</v>
      </c>
      <c r="D156" s="135">
        <v>20</v>
      </c>
      <c r="E156" s="119">
        <v>15</v>
      </c>
      <c r="F156" s="119">
        <v>10</v>
      </c>
      <c r="G156" s="136">
        <v>6</v>
      </c>
    </row>
    <row r="157" spans="2:7">
      <c r="B157" s="133" t="s">
        <v>162</v>
      </c>
      <c r="C157" s="134">
        <f t="shared" si="1"/>
        <v>20.0000001</v>
      </c>
      <c r="D157" s="135">
        <v>25</v>
      </c>
      <c r="E157" s="119">
        <v>20</v>
      </c>
      <c r="F157" s="119">
        <v>10</v>
      </c>
      <c r="G157" s="136">
        <v>6</v>
      </c>
    </row>
    <row r="158" spans="2:7">
      <c r="B158" s="133" t="s">
        <v>383</v>
      </c>
      <c r="C158" s="134">
        <f t="shared" si="1"/>
        <v>25.0000001</v>
      </c>
      <c r="D158" s="135">
        <v>30</v>
      </c>
      <c r="E158" s="119">
        <v>25</v>
      </c>
      <c r="F158" s="119">
        <v>10</v>
      </c>
      <c r="G158" s="136">
        <v>6</v>
      </c>
    </row>
    <row r="159" spans="2:7">
      <c r="B159" s="133" t="s">
        <v>384</v>
      </c>
      <c r="C159" s="134">
        <f t="shared" si="1"/>
        <v>30.0000001</v>
      </c>
      <c r="D159" s="135">
        <v>35</v>
      </c>
      <c r="E159" s="119">
        <v>30</v>
      </c>
      <c r="F159" s="119">
        <v>10</v>
      </c>
      <c r="G159" s="136">
        <v>6</v>
      </c>
    </row>
    <row r="160" spans="2:7">
      <c r="B160" s="133" t="s">
        <v>385</v>
      </c>
      <c r="C160" s="134">
        <f t="shared" si="1"/>
        <v>35.0000001</v>
      </c>
      <c r="D160" s="135">
        <v>40</v>
      </c>
      <c r="E160" s="119">
        <v>35</v>
      </c>
      <c r="F160" s="119">
        <v>10</v>
      </c>
      <c r="G160" s="136">
        <v>6</v>
      </c>
    </row>
    <row r="161" spans="2:7">
      <c r="B161" s="133" t="s">
        <v>386</v>
      </c>
      <c r="C161" s="134">
        <f t="shared" si="1"/>
        <v>40.0000001</v>
      </c>
      <c r="D161" s="135">
        <v>45</v>
      </c>
      <c r="E161" s="119">
        <v>40</v>
      </c>
      <c r="F161" s="119">
        <v>20</v>
      </c>
      <c r="G161" s="136">
        <v>15</v>
      </c>
    </row>
    <row r="162" spans="2:7">
      <c r="B162" s="133" t="s">
        <v>189</v>
      </c>
      <c r="C162" s="134">
        <f t="shared" si="1"/>
        <v>45.0000001</v>
      </c>
      <c r="D162" s="135">
        <v>50</v>
      </c>
      <c r="E162" s="119">
        <v>45</v>
      </c>
      <c r="F162" s="119">
        <v>20</v>
      </c>
      <c r="G162" s="136">
        <v>15</v>
      </c>
    </row>
    <row r="163" spans="2:7">
      <c r="B163" s="137" t="s">
        <v>387</v>
      </c>
      <c r="C163" s="138">
        <f t="shared" si="1"/>
        <v>50.0000001</v>
      </c>
      <c r="D163" s="139">
        <v>999999</v>
      </c>
      <c r="E163" s="125">
        <v>50</v>
      </c>
      <c r="F163" s="125">
        <v>20</v>
      </c>
      <c r="G163" s="140">
        <v>15</v>
      </c>
    </row>
    <row r="164"/>
    <row r="197"/>
    <row r="198"/>
    <row r="199"/>
    <row r="200"/>
  </sheetData>
  <sheetProtection password="83CC" sheet="1" formatColumns="0" formatRows="0" insertRows="0" objects="1" scenarios="1"/>
  <mergeCells count="96">
    <mergeCell ref="C2:D2"/>
    <mergeCell ref="E2:F2"/>
    <mergeCell ref="G2:H2"/>
    <mergeCell ref="I2:J2"/>
    <mergeCell ref="K2:L2"/>
    <mergeCell ref="M2:N2"/>
    <mergeCell ref="O2:P2"/>
    <mergeCell ref="Q2:R2"/>
    <mergeCell ref="S2:T2"/>
    <mergeCell ref="U2:V2"/>
    <mergeCell ref="W2:X2"/>
    <mergeCell ref="Y2:Z2"/>
    <mergeCell ref="AA2:AB2"/>
    <mergeCell ref="AC2:AD2"/>
    <mergeCell ref="B51:L51"/>
    <mergeCell ref="C52:L52"/>
    <mergeCell ref="C53:L53"/>
    <mergeCell ref="C54:L54"/>
    <mergeCell ref="C55:L55"/>
    <mergeCell ref="C56:L56"/>
    <mergeCell ref="C57:L57"/>
    <mergeCell ref="C58:L58"/>
    <mergeCell ref="C59:L59"/>
    <mergeCell ref="C60:L60"/>
    <mergeCell ref="C61:L61"/>
    <mergeCell ref="C62:L62"/>
    <mergeCell ref="C63:L63"/>
    <mergeCell ref="C64:L64"/>
    <mergeCell ref="C65:L65"/>
    <mergeCell ref="C66:L66"/>
    <mergeCell ref="C67:L67"/>
    <mergeCell ref="C68:L68"/>
    <mergeCell ref="B70:L70"/>
    <mergeCell ref="C71:L71"/>
    <mergeCell ref="C72:L72"/>
    <mergeCell ref="C73:L73"/>
    <mergeCell ref="C74:L74"/>
    <mergeCell ref="C75:L75"/>
    <mergeCell ref="C76:L76"/>
    <mergeCell ref="C77:L77"/>
    <mergeCell ref="C78:L78"/>
    <mergeCell ref="C79:L79"/>
    <mergeCell ref="C80:L80"/>
    <mergeCell ref="C81:L81"/>
    <mergeCell ref="C82:L82"/>
    <mergeCell ref="C83:L83"/>
    <mergeCell ref="C84:L84"/>
    <mergeCell ref="B86:L86"/>
    <mergeCell ref="C87:D87"/>
    <mergeCell ref="C88:D88"/>
    <mergeCell ref="C89:D89"/>
    <mergeCell ref="C90:D90"/>
    <mergeCell ref="C91:D91"/>
    <mergeCell ref="C92:D92"/>
    <mergeCell ref="B94:L94"/>
    <mergeCell ref="C95:D95"/>
    <mergeCell ref="C96:D96"/>
    <mergeCell ref="C97:D97"/>
    <mergeCell ref="C98:D98"/>
    <mergeCell ref="C99:D99"/>
    <mergeCell ref="C100:D100"/>
    <mergeCell ref="B102:C102"/>
    <mergeCell ref="B103:C103"/>
    <mergeCell ref="B104:C104"/>
    <mergeCell ref="B105:C105"/>
    <mergeCell ref="B107:C107"/>
    <mergeCell ref="B111:C111"/>
    <mergeCell ref="B115:C115"/>
    <mergeCell ref="B119:C119"/>
    <mergeCell ref="B120:C120"/>
    <mergeCell ref="B121:C121"/>
    <mergeCell ref="B123:C123"/>
    <mergeCell ref="B124:C124"/>
    <mergeCell ref="B126:C126"/>
    <mergeCell ref="B130:C130"/>
    <mergeCell ref="B131:C131"/>
    <mergeCell ref="B132:C132"/>
    <mergeCell ref="B133:C133"/>
    <mergeCell ref="C135:G135"/>
    <mergeCell ref="B4:B6"/>
    <mergeCell ref="B7:B9"/>
    <mergeCell ref="B10:B12"/>
    <mergeCell ref="B13:B15"/>
    <mergeCell ref="B16:B18"/>
    <mergeCell ref="B19:B21"/>
    <mergeCell ref="B22:B24"/>
    <mergeCell ref="B25:B27"/>
    <mergeCell ref="B28:B30"/>
    <mergeCell ref="B31:B33"/>
    <mergeCell ref="B34:B36"/>
    <mergeCell ref="B37:B39"/>
    <mergeCell ref="B40:B42"/>
    <mergeCell ref="B43:B45"/>
    <mergeCell ref="B46:B48"/>
    <mergeCell ref="B150:G151"/>
    <mergeCell ref="B136:G137"/>
  </mergeCells>
  <dataValidations count="2">
    <dataValidation type="whole" operator="between" allowBlank="1" showInputMessage="1" showErrorMessage="1" promptTitle="ATTENZIONE!" prompt="Il valore percentuale deve essere compreso tra un minimo di 50 e un massimo di 100!" sqref="B121:C121">
      <formula1>50</formula1>
      <formula2>100</formula2>
    </dataValidation>
    <dataValidation type="list" allowBlank="1" showInputMessage="1" showErrorMessage="1" sqref="C135:G135">
      <formula1>"Comune con meno di 50.000 abitanti,Comune con più di 50.000 abitanti"</formula1>
    </dataValidation>
  </dataValidations>
  <pageMargins left="0.658110236220473" right="0.118110236220472" top="0.354330708661417" bottom="0.354330708661417" header="0.31496062992126" footer="0.31496062992126"/>
  <pageSetup paperSize="9" scale="48" orientation="landscape"/>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Foglio10"/>
  <dimension ref="A1:Y2"/>
  <sheetViews>
    <sheetView workbookViewId="0">
      <selection activeCell="F43" sqref="F43"/>
    </sheetView>
  </sheetViews>
  <sheetFormatPr defaultColWidth="9" defaultRowHeight="12.75" outlineLevelRow="1"/>
  <cols>
    <col min="1" max="1" width="13.5714285714286" customWidth="1"/>
    <col min="2" max="2" width="15.2857142857143" customWidth="1"/>
    <col min="3" max="11" width="13.5714285714286" customWidth="1"/>
    <col min="12" max="12" width="10.5714285714286" customWidth="1"/>
    <col min="13" max="13" width="11.4285714285714" customWidth="1"/>
    <col min="14" max="14" width="14" customWidth="1"/>
    <col min="15" max="16" width="10.7142857142857" customWidth="1"/>
    <col min="17" max="17" width="15.5714285714286" customWidth="1"/>
    <col min="18" max="18" width="13.1428571428571" customWidth="1"/>
    <col min="19" max="19" width="15.7142857142857" customWidth="1"/>
    <col min="20" max="21" width="13.1428571428571" customWidth="1"/>
    <col min="22" max="22" width="13" customWidth="1"/>
    <col min="23" max="23" width="14.2857142857143" customWidth="1"/>
    <col min="24" max="24" width="13.7142857142857" customWidth="1"/>
    <col min="25" max="25" width="14.1428571428571" customWidth="1"/>
  </cols>
  <sheetData>
    <row r="1" ht="51" spans="1:25">
      <c r="A1" s="1" t="s">
        <v>389</v>
      </c>
      <c r="B1" s="1" t="s">
        <v>390</v>
      </c>
      <c r="C1" s="1" t="s">
        <v>374</v>
      </c>
      <c r="D1" s="1" t="s">
        <v>391</v>
      </c>
      <c r="E1" s="1" t="s">
        <v>392</v>
      </c>
      <c r="F1" s="1" t="s">
        <v>393</v>
      </c>
      <c r="G1" s="2" t="s">
        <v>394</v>
      </c>
      <c r="H1" s="1" t="s">
        <v>395</v>
      </c>
      <c r="I1" s="1" t="s">
        <v>396</v>
      </c>
      <c r="J1" s="1" t="s">
        <v>397</v>
      </c>
      <c r="K1" s="1" t="s">
        <v>398</v>
      </c>
      <c r="L1" s="1" t="s">
        <v>308</v>
      </c>
      <c r="M1" s="2" t="s">
        <v>40</v>
      </c>
      <c r="N1" s="2" t="s">
        <v>399</v>
      </c>
      <c r="O1" s="2" t="s">
        <v>400</v>
      </c>
      <c r="P1" s="2" t="s">
        <v>401</v>
      </c>
      <c r="Q1" s="2" t="s">
        <v>402</v>
      </c>
      <c r="R1" s="2" t="s">
        <v>403</v>
      </c>
      <c r="S1" s="2" t="s">
        <v>404</v>
      </c>
      <c r="T1" s="1" t="s">
        <v>405</v>
      </c>
      <c r="U1" s="1" t="s">
        <v>406</v>
      </c>
      <c r="V1" s="1" t="s">
        <v>407</v>
      </c>
      <c r="W1" s="1" t="s">
        <v>408</v>
      </c>
      <c r="X1" s="2" t="s">
        <v>54</v>
      </c>
      <c r="Y1" s="2" t="s">
        <v>53</v>
      </c>
    </row>
    <row r="2" spans="1:25">
      <c r="A2" s="3">
        <f>ROUND(Riepilogo_OneriUrbPrim,2)</f>
        <v>0</v>
      </c>
      <c r="B2" s="3">
        <f>ROUND(Riepilogo_OneriSecPrim,2)</f>
        <v>0</v>
      </c>
      <c r="C2" s="3">
        <f>ROUND((Riepilogo_OneriUrbPrim+Riepilogo_OneriSecPrim),2)</f>
        <v>0</v>
      </c>
      <c r="D2" s="3">
        <f>ROUND(Oneri_Urb_Prim_Corrisposti,2)</f>
        <v>0</v>
      </c>
      <c r="E2" s="3">
        <f>ROUND(Oneri_Urb_Sec_Corrisposti,2)</f>
        <v>0</v>
      </c>
      <c r="F2" s="3">
        <f>ROUND(SmaltimRif_Corrisposti,2)</f>
        <v>0</v>
      </c>
      <c r="G2" s="3">
        <f>ROUND(Costo_costruzione_Corrisposto+CostoCostr_Prog_StFatto_corrisposto,2)</f>
        <v>0</v>
      </c>
      <c r="H2" s="3">
        <f>ROUND(OpereUrbPrimRealizzate,2)</f>
        <v>0</v>
      </c>
      <c r="I2" s="3">
        <f>ROUND(OpereUrbSecRealizzate,2)</f>
        <v>0</v>
      </c>
      <c r="J2" s="3">
        <f>ROUND(CC_UrbPrimScomputati,2)</f>
        <v>0</v>
      </c>
      <c r="K2" s="3">
        <f>ROUND(CC_UrbSecScomputati,2)</f>
        <v>0</v>
      </c>
      <c r="L2" s="3">
        <f ca="1">ROUND(Riepilogo_CostoCostruzione_totale,2)</f>
        <v>0</v>
      </c>
      <c r="M2" s="3">
        <f>ROUND(Riepilogo_Cc_OneriSmaltRifiutiRif,2)</f>
        <v>0</v>
      </c>
      <c r="N2" s="3">
        <f>ROUND(Riepilogo_OneriUrbPrim+Riepilogo_OneriSecPrim+Riepilogo_Cc_OneriSmaltRifiutiRif,2)</f>
        <v>0</v>
      </c>
      <c r="O2" s="3">
        <f>ROUND(Riepilogo_Sanzione,2)</f>
        <v>0</v>
      </c>
      <c r="P2" s="3">
        <f ca="1">ROUND(Riepilogo_Oblazione,2)</f>
        <v>0</v>
      </c>
      <c r="Q2" s="3">
        <f>ROUND(Riepilogo_MaggOneriUrbPrimSott,2)</f>
        <v>0</v>
      </c>
      <c r="R2" s="3">
        <f>ROUND(Riepilogo_MaggOneriUrbSecSott,2)</f>
        <v>0</v>
      </c>
      <c r="S2" s="3">
        <f ca="1">ROUND(Riepilogo_MaggCostoCostSott,2)</f>
        <v>0</v>
      </c>
      <c r="T2" s="3">
        <f ca="1">ROUND(Riepilogo_OnUrb_AltriCosti_ValoreMaggCostoCAreeAgr+Riepilogo_CC_AltriCosti_ValoreMaggCostoCAreeAgr,2)</f>
        <v>0</v>
      </c>
      <c r="U2" s="3">
        <f ca="1">ROUND(Riepilogo_MaggCostoCostConsumoSuolo+Riepilogo_MaggCostoStFattoCostConsumoSuolo,2)</f>
        <v>0</v>
      </c>
      <c r="V2" s="3">
        <f ca="1">ROUND(Riepilogo_Contributo_costruzione,2)</f>
        <v>0</v>
      </c>
      <c r="W2" s="3">
        <f ca="1">ROUND(Riepilogo_ContCostCompresaMagg,2)</f>
        <v>0</v>
      </c>
      <c r="X2" s="3">
        <f>ROUND(Riepilogo_MonetizzParcheggi,2)</f>
        <v>0</v>
      </c>
      <c r="Y2" s="3">
        <f>ROUND(Riepilogo_MonetizzAreeStand,2)</f>
        <v>0</v>
      </c>
    </row>
  </sheetData>
  <sheetProtection password="83CC" sheet="1" formatColumns="0" formatRows="0" insertRows="0" objects="1" scenarios="1"/>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Foglio6">
    <pageSetUpPr fitToPage="1"/>
  </sheetPr>
  <dimension ref="A1:M169"/>
  <sheetViews>
    <sheetView showGridLines="0" showZeros="0" workbookViewId="0">
      <selection activeCell="A1" sqref="A1"/>
    </sheetView>
  </sheetViews>
  <sheetFormatPr defaultColWidth="0" defaultRowHeight="12.75" zeroHeight="1"/>
  <cols>
    <col min="1" max="1" width="5.71428571428571" style="49" customWidth="1"/>
    <col min="2" max="2" width="47.4285714285714" style="28" customWidth="1"/>
    <col min="3" max="3" width="34.5714285714286" style="28" customWidth="1"/>
    <col min="4" max="4" width="12.4285714285714" style="28" customWidth="1"/>
    <col min="5" max="5" width="15.1428571428571" style="28" customWidth="1"/>
    <col min="6" max="6" width="2" style="28" customWidth="1"/>
    <col min="7" max="7" width="18.7142857142857" style="28" customWidth="1"/>
    <col min="8" max="8" width="2.28571428571429" style="28" hidden="1" customWidth="1"/>
    <col min="9" max="9" width="9.14285714285714" style="28" hidden="1" customWidth="1"/>
    <col min="10" max="253" width="0" style="28" hidden="1"/>
    <col min="254" max="254" width="14.2857142857143" style="28" hidden="1" customWidth="1"/>
    <col min="255" max="16384" width="14.2857142857143" style="28" hidden="1"/>
  </cols>
  <sheetData>
    <row r="1" customHeight="1" spans="1:6">
      <c r="A1" s="201"/>
      <c r="B1" s="49"/>
      <c r="C1" s="49"/>
      <c r="D1" s="49"/>
      <c r="E1" s="49"/>
      <c r="F1" s="49"/>
    </row>
    <row r="2" ht="15" customHeight="1" spans="1:9">
      <c r="A2" s="840"/>
      <c r="B2" s="682" t="s">
        <v>24</v>
      </c>
      <c r="C2" s="683"/>
      <c r="D2" s="683"/>
      <c r="E2" s="683"/>
      <c r="F2" s="684"/>
      <c r="I2" s="865"/>
    </row>
    <row r="3" customHeight="1" spans="1:7">
      <c r="A3" s="685"/>
      <c r="B3" s="808" t="s">
        <v>25</v>
      </c>
      <c r="C3" s="809"/>
      <c r="D3" s="809"/>
      <c r="E3" s="809"/>
      <c r="F3" s="975"/>
      <c r="G3" s="200"/>
    </row>
    <row r="4" customHeight="1" spans="1:9">
      <c r="A4" s="685"/>
      <c r="B4" s="708" t="s">
        <v>26</v>
      </c>
      <c r="C4" s="710"/>
      <c r="D4" s="976"/>
      <c r="E4" s="832">
        <f>ROUND(ImportoOneriUrb1-Riepilogo_OneriUrbPrimSott,2)</f>
        <v>0</v>
      </c>
      <c r="F4" s="690"/>
      <c r="G4" s="201"/>
      <c r="I4"/>
    </row>
    <row r="5" customHeight="1" spans="1:9">
      <c r="A5" s="685"/>
      <c r="B5" s="694" t="s">
        <v>27</v>
      </c>
      <c r="C5" s="696"/>
      <c r="D5" s="976"/>
      <c r="E5" s="832">
        <f>IF(ImportoOneriUrbanizzazione_NuovaDest&gt;0,ImportoOneriUrb1_NuovaDest,0)</f>
        <v>0</v>
      </c>
      <c r="F5" s="690"/>
      <c r="G5" s="201"/>
      <c r="I5"/>
    </row>
    <row r="6" customHeight="1" spans="1:9">
      <c r="A6" s="685"/>
      <c r="B6" s="694" t="s">
        <v>28</v>
      </c>
      <c r="C6" s="696"/>
      <c r="D6" s="976"/>
      <c r="E6" s="977">
        <f>ImportoOneriUrbRecSottPrimaria</f>
        <v>0</v>
      </c>
      <c r="F6" s="690"/>
      <c r="G6" s="201"/>
      <c r="I6"/>
    </row>
    <row r="7" customHeight="1" spans="1:9">
      <c r="A7" s="685"/>
      <c r="B7" s="694" t="s">
        <v>29</v>
      </c>
      <c r="C7" s="696"/>
      <c r="D7" s="976" t="str">
        <f>IF(Riepilogo_MaggOneriUrbPrimSott&gt;0,IF(Parametri_MaggiorazioneSottotetti&gt;0,TEXT(Parametri_MaggiorazioneSottotetti,"0%"),"Nessuna"),"")</f>
        <v/>
      </c>
      <c r="E7" s="832">
        <f>CC_AltriCosti_ValoreMaggOnPrimRecSott</f>
        <v>0</v>
      </c>
      <c r="F7" s="690"/>
      <c r="G7" s="549" t="s">
        <v>30</v>
      </c>
      <c r="I7"/>
    </row>
    <row r="8" hidden="1" customHeight="1" spans="1:9">
      <c r="A8" s="685"/>
      <c r="B8" s="708" t="s">
        <v>31</v>
      </c>
      <c r="C8" s="710"/>
      <c r="D8" s="976" t="str">
        <f>IF(Riepilogo_RiduPianoCasaOneriUrbPrim&gt;0,IF(Par_PianoCasa_Rid&gt;0,TEXT(Par_PianoCasa_Rid,"0%")&amp;" a dedurre","Nessuna"),"")</f>
        <v/>
      </c>
      <c r="E8" s="832">
        <f>OnPrim_RiduzionePianoCasa</f>
        <v>0</v>
      </c>
      <c r="F8" s="978"/>
      <c r="I8"/>
    </row>
    <row r="9" customHeight="1" spans="1:9">
      <c r="A9" s="685"/>
      <c r="B9" s="694" t="s">
        <v>32</v>
      </c>
      <c r="C9" s="696"/>
      <c r="D9" s="976"/>
      <c r="E9" s="977">
        <f>OnPrim_RiduzioneSostituzione</f>
        <v>0</v>
      </c>
      <c r="F9" s="978"/>
      <c r="I9"/>
    </row>
    <row r="10" customHeight="1" spans="1:9">
      <c r="A10" s="685"/>
      <c r="B10" s="694" t="s">
        <v>33</v>
      </c>
      <c r="C10" s="696"/>
      <c r="D10" s="976" t="str">
        <f>IF(Riepilogo_RiduDensificazioneOneriUrbPrim&gt;0,IF(Par_Rid_Densificazione_Oneri&gt;0,TEXT(Par_Rid_Densificazione_Oneri,"0%")&amp;" a dedurre","Nessuna"),"")</f>
        <v/>
      </c>
      <c r="E10" s="977">
        <f>OnPrim_RiduzioneDensificazione</f>
        <v>0</v>
      </c>
      <c r="F10" s="978"/>
      <c r="I10"/>
    </row>
    <row r="11" customHeight="1" spans="1:9">
      <c r="A11" s="685"/>
      <c r="B11" s="708" t="str">
        <f>"Riduzione per risparmio energetico"</f>
        <v>Riduzione per risparmio energetico</v>
      </c>
      <c r="C11" s="710"/>
      <c r="D11" s="976" t="str">
        <f>IF(DescInt_RisparmioPercent&gt;0,IF(DescInt_RisparmioPercent&gt;0,TEXT(DescInt_RisparmioPercent,"0%")&amp;" a dedurre","Nessuna"),"")</f>
        <v/>
      </c>
      <c r="E11" s="977">
        <f>OnPrim_RiduzioneRispEnerg</f>
        <v>0</v>
      </c>
      <c r="F11" s="978"/>
      <c r="I11"/>
    </row>
    <row r="12" customHeight="1" spans="1:9">
      <c r="A12" s="685"/>
      <c r="B12" s="694" t="s">
        <v>34</v>
      </c>
      <c r="C12" s="696"/>
      <c r="D12" s="976" t="str">
        <f>IF(Oneri_Urb_Prim_Corrisposti&gt;0," a dedurre","")</f>
        <v/>
      </c>
      <c r="E12" s="977">
        <f>Oneri_Urb_Prim_Corrisposti</f>
        <v>0</v>
      </c>
      <c r="F12" s="690"/>
      <c r="G12" s="698"/>
      <c r="I12"/>
    </row>
    <row r="13" customHeight="1" spans="1:9">
      <c r="A13" s="685"/>
      <c r="B13" s="708" t="s">
        <v>35</v>
      </c>
      <c r="C13" s="709"/>
      <c r="D13" s="976"/>
      <c r="E13" s="832">
        <f>OpereUrbPrimRealizzate</f>
        <v>0</v>
      </c>
      <c r="F13" s="690"/>
      <c r="G13" s="698"/>
      <c r="I13"/>
    </row>
    <row r="14" customHeight="1" spans="1:9">
      <c r="A14" s="685"/>
      <c r="B14" s="708" t="s">
        <v>36</v>
      </c>
      <c r="C14" s="709"/>
      <c r="D14" s="976"/>
      <c r="E14" s="846">
        <f>CC_UrbPrimScomputati</f>
        <v>0</v>
      </c>
      <c r="F14" s="690"/>
      <c r="G14" s="698"/>
      <c r="I14"/>
    </row>
    <row r="15" customHeight="1" spans="1:9">
      <c r="A15" s="685"/>
      <c r="B15" s="833" t="s">
        <v>37</v>
      </c>
      <c r="C15" s="847"/>
      <c r="D15" s="976"/>
      <c r="E15" s="979">
        <f>Riepilogo_OneriUrbPrimEsclusoSott+Riepilogo_OneriUrbPrimCambioUso+Riepilogo_OneriUrbPrimSott+Riepilogo_MaggOneriUrbPrimSott-Riepilogo_RiduPianoCasaOneriUrbPrim-Riepilogo_RiduSostituzioneOneriUrbPrim-Riepilogo_RiduDensificazioneOneriUrbPrim-Riepilogo_RiduRispEnerOup-Riepilogo_Oneri_Urb_Prim_Corrisposti-Riepilogo_OpereUrbPrimRealizzate+E14</f>
        <v>0</v>
      </c>
      <c r="F15" s="690"/>
      <c r="G15" s="698"/>
      <c r="I15"/>
    </row>
    <row r="16" customHeight="1" spans="1:7">
      <c r="A16" s="685"/>
      <c r="B16" s="808" t="s">
        <v>38</v>
      </c>
      <c r="C16" s="809"/>
      <c r="D16" s="809"/>
      <c r="E16" s="809"/>
      <c r="F16" s="975"/>
      <c r="G16" s="201"/>
    </row>
    <row r="17" customHeight="1" spans="1:9">
      <c r="A17" s="685"/>
      <c r="B17" s="708" t="s">
        <v>26</v>
      </c>
      <c r="C17" s="710"/>
      <c r="D17" s="976"/>
      <c r="E17" s="832">
        <f>ROUND(ImportoOneriUrb2-Riepilogo_OneriUrbSecSott,2)</f>
        <v>0</v>
      </c>
      <c r="F17" s="690"/>
      <c r="I17"/>
    </row>
    <row r="18" customHeight="1" spans="1:9">
      <c r="A18" s="685"/>
      <c r="B18" s="694" t="s">
        <v>27</v>
      </c>
      <c r="C18" s="696"/>
      <c r="D18" s="976"/>
      <c r="E18" s="977">
        <f>IF(ImportoOneriUrbanizzazione_NuovaDest&gt;0,ImportoOneriUrb2_NuovaDest,0)</f>
        <v>0</v>
      </c>
      <c r="F18" s="690"/>
      <c r="I18"/>
    </row>
    <row r="19" customHeight="1" spans="1:9">
      <c r="A19" s="685"/>
      <c r="B19" s="694" t="s">
        <v>28</v>
      </c>
      <c r="C19" s="696"/>
      <c r="D19" s="976"/>
      <c r="E19" s="977">
        <f>ImportoOneriUrbRecSottSecondaria</f>
        <v>0</v>
      </c>
      <c r="F19" s="690"/>
      <c r="I19"/>
    </row>
    <row r="20" customHeight="1" spans="1:9">
      <c r="A20" s="685"/>
      <c r="B20" s="694" t="s">
        <v>29</v>
      </c>
      <c r="C20" s="696"/>
      <c r="D20" s="976" t="str">
        <f>IF(Riepilogo_MaggOneriUrbSecSott&gt;0,IF(Parametri_MaggiorazioneSottotetti&gt;0,TEXT(Parametri_MaggiorazioneSottotetti,"0%"),"Nessuna"),"")</f>
        <v/>
      </c>
      <c r="E20" s="832">
        <f>CC_AltriCosti_ValoreMaggOnRecSott</f>
        <v>0</v>
      </c>
      <c r="F20" s="690"/>
      <c r="I20"/>
    </row>
    <row r="21" hidden="1" customHeight="1" spans="1:9">
      <c r="A21" s="685"/>
      <c r="B21" s="708" t="s">
        <v>31</v>
      </c>
      <c r="C21" s="710"/>
      <c r="D21" s="976" t="str">
        <f>IF(Riepilogo_RiduPianoCasaOneriUrbSec&gt;0,IF(Par_PianoCasa_Rid&gt;0,TEXT(Par_PianoCasa_Rid,"0%")&amp;" a dedurre","Nessuna"),"")</f>
        <v/>
      </c>
      <c r="E21" s="832">
        <f>OnSec_RiduzionePianoCasa</f>
        <v>0</v>
      </c>
      <c r="F21" s="978"/>
      <c r="I21"/>
    </row>
    <row r="22" customHeight="1" spans="1:9">
      <c r="A22" s="685"/>
      <c r="B22" s="694" t="s">
        <v>32</v>
      </c>
      <c r="C22" s="696"/>
      <c r="D22" s="976"/>
      <c r="E22" s="977">
        <f>OnSec_RiduzioneSostituzione</f>
        <v>0</v>
      </c>
      <c r="F22" s="978"/>
      <c r="I22"/>
    </row>
    <row r="23" customHeight="1" spans="1:9">
      <c r="A23" s="685"/>
      <c r="B23" s="694" t="s">
        <v>33</v>
      </c>
      <c r="C23" s="696"/>
      <c r="D23" s="976" t="str">
        <f>IF(Riepilogo_RiduDensificazioneOneriUrbSec&gt;0,IF(Par_Rid_Densificazione_Oneri&gt;0,TEXT(Par_Rid_Densificazione_Oneri,"0%")&amp;" a dedurre","Nessuna"),"")</f>
        <v/>
      </c>
      <c r="E23" s="977">
        <f>OnSec_RiduzioneDensificazione</f>
        <v>0</v>
      </c>
      <c r="F23" s="978"/>
      <c r="I23"/>
    </row>
    <row r="24" customHeight="1" spans="1:9">
      <c r="A24" s="685"/>
      <c r="B24" s="708" t="str">
        <f>"Riduzione per risparmio energetico"</f>
        <v>Riduzione per risparmio energetico</v>
      </c>
      <c r="C24" s="710"/>
      <c r="D24" s="976" t="str">
        <f>IF(DescInt_RisparmioPercent&gt;0,IF(DescInt_RisparmioPercent&gt;0,TEXT(DescInt_RisparmioPercent,"0%")&amp;" a dedurre","Nessuna"),"")</f>
        <v/>
      </c>
      <c r="E24" s="977">
        <f>OC_RispEnerSecResid_Hide</f>
        <v>0</v>
      </c>
      <c r="F24" s="978"/>
      <c r="I24"/>
    </row>
    <row r="25" customHeight="1" spans="1:9">
      <c r="A25" s="685"/>
      <c r="B25" s="694" t="s">
        <v>34</v>
      </c>
      <c r="C25" s="696"/>
      <c r="D25" s="976" t="str">
        <f>IF(Oneri_Urb_Sec_Corrisposti&gt;0," a dedurre","")</f>
        <v/>
      </c>
      <c r="E25" s="977">
        <f>Oneri_Urb_Sec_Corrisposti</f>
        <v>0</v>
      </c>
      <c r="F25" s="690"/>
      <c r="I25"/>
    </row>
    <row r="26" customHeight="1" spans="1:9">
      <c r="A26" s="685"/>
      <c r="B26" s="708" t="s">
        <v>39</v>
      </c>
      <c r="C26" s="709"/>
      <c r="D26" s="976"/>
      <c r="E26" s="832">
        <f>OpereUrbSecRealizzate</f>
        <v>0</v>
      </c>
      <c r="F26" s="690"/>
      <c r="I26"/>
    </row>
    <row r="27" customHeight="1" spans="1:9">
      <c r="A27" s="685"/>
      <c r="B27" s="708" t="s">
        <v>36</v>
      </c>
      <c r="C27" s="709"/>
      <c r="D27" s="976"/>
      <c r="E27" s="846">
        <f>CC_UrbSecScomputati</f>
        <v>0</v>
      </c>
      <c r="F27" s="690"/>
      <c r="I27"/>
    </row>
    <row r="28" customHeight="1" spans="1:9">
      <c r="A28" s="685"/>
      <c r="B28" s="833" t="s">
        <v>37</v>
      </c>
      <c r="C28" s="847"/>
      <c r="D28" s="976"/>
      <c r="E28" s="979">
        <f>Riepilogo_OneriUrbSecEsclusoSott+Riepilogo_OneriUrbSecCambioUso+Riepilogo_OneriUrbSecSott+Riepilogo_MaggOneriUrbSecSott-Riepilogo_RiduPianoCasaOneriUrbSec-Riepilogo_RiduSostituzioneOneriUrbSec-Riepilogo_RiduDensificazioneOneriUrbSec-Riepilogo_RiduRispEnerOus-Riepilogo_Oneri_Urb_Sec_Corrisposti-Riepilogo_OpereUrbSecRealizzate+E27</f>
        <v>0</v>
      </c>
      <c r="F28" s="690"/>
      <c r="I28"/>
    </row>
    <row r="29" customHeight="1" spans="1:6">
      <c r="A29" s="685"/>
      <c r="B29" s="808" t="s">
        <v>40</v>
      </c>
      <c r="C29" s="809"/>
      <c r="D29" s="809"/>
      <c r="E29" s="809"/>
      <c r="F29" s="975"/>
    </row>
    <row r="30" customHeight="1" spans="1:6">
      <c r="A30" s="685"/>
      <c r="B30" s="708" t="s">
        <v>26</v>
      </c>
      <c r="C30" s="710"/>
      <c r="D30" s="976"/>
      <c r="E30" s="832">
        <f>ImportoOneriSmaltimentoRif</f>
        <v>0</v>
      </c>
      <c r="F30" s="975"/>
    </row>
    <row r="31" customHeight="1" spans="1:6">
      <c r="A31" s="685"/>
      <c r="B31" s="694" t="s">
        <v>27</v>
      </c>
      <c r="C31" s="696"/>
      <c r="D31" s="976"/>
      <c r="E31" s="977">
        <f>ImportoSmaltRifiuti_NuovaDest</f>
        <v>0</v>
      </c>
      <c r="F31" s="975"/>
    </row>
    <row r="32" customHeight="1" spans="1:6">
      <c r="A32" s="685"/>
      <c r="B32" s="694" t="s">
        <v>34</v>
      </c>
      <c r="C32" s="696"/>
      <c r="D32" s="976"/>
      <c r="E32" s="977">
        <f>SmaltimRif_Corrisposti</f>
        <v>0</v>
      </c>
      <c r="F32" s="975"/>
    </row>
    <row r="33" customHeight="1" spans="1:9">
      <c r="A33" s="685"/>
      <c r="B33" s="980"/>
      <c r="C33" s="847" t="s">
        <v>37</v>
      </c>
      <c r="D33" s="976"/>
      <c r="E33" s="832">
        <f>Riepilogo_OneriSmaltRifiutiRif+Riepilogo_OneriSmaltRifiutiCambioUso-Riepilogo_SmaltimRif_Corrisposti</f>
        <v>0</v>
      </c>
      <c r="F33" s="690"/>
      <c r="I33"/>
    </row>
    <row r="34" customHeight="1" spans="1:9">
      <c r="A34" s="685"/>
      <c r="B34" s="981"/>
      <c r="C34" s="982"/>
      <c r="D34" s="983"/>
      <c r="E34" s="984"/>
      <c r="F34" s="690"/>
      <c r="I34"/>
    </row>
    <row r="35" customHeight="1" spans="1:9">
      <c r="A35" s="685"/>
      <c r="B35" s="985" t="s">
        <v>41</v>
      </c>
      <c r="C35" s="986"/>
      <c r="D35" s="987"/>
      <c r="E35" s="988">
        <f>ROUND(Riepilogo_OneriUrbPrim+Riepilogo_OneriSecPrim+Riepilogo_Cc_OneriSmaltRifiutiRif,2)</f>
        <v>0</v>
      </c>
      <c r="F35" s="690"/>
      <c r="I35" s="865"/>
    </row>
    <row r="36" customHeight="1" spans="1:9">
      <c r="A36" s="685"/>
      <c r="B36" s="989"/>
      <c r="C36" s="990"/>
      <c r="D36" s="712"/>
      <c r="E36" s="991"/>
      <c r="F36" s="690"/>
      <c r="I36" s="865"/>
    </row>
    <row r="37" customHeight="1" spans="1:9">
      <c r="A37" s="685"/>
      <c r="B37" s="808" t="s">
        <v>42</v>
      </c>
      <c r="C37" s="809"/>
      <c r="D37" s="809"/>
      <c r="E37" s="809"/>
      <c r="F37" s="975"/>
      <c r="G37" s="603"/>
      <c r="H37" s="603"/>
      <c r="I37" s="603"/>
    </row>
    <row r="38" customHeight="1" spans="1:9">
      <c r="A38" s="685"/>
      <c r="B38" s="708" t="s">
        <v>43</v>
      </c>
      <c r="C38" s="710"/>
      <c r="D38" s="976"/>
      <c r="E38" s="832">
        <f ca="1">CC_Residenziale+CC_CommercioTerziario</f>
        <v>0</v>
      </c>
      <c r="F38" s="690"/>
      <c r="G38" s="603"/>
      <c r="H38" s="603"/>
      <c r="I38" s="603"/>
    </row>
    <row r="39" customHeight="1" spans="1:10">
      <c r="A39" s="685"/>
      <c r="B39" s="694" t="s">
        <v>44</v>
      </c>
      <c r="C39" s="696"/>
      <c r="D39" s="976"/>
      <c r="E39" s="977">
        <f ca="1">cc_CostoCostRecSottProg</f>
        <v>0</v>
      </c>
      <c r="F39" s="690"/>
      <c r="G39" s="603"/>
      <c r="H39" s="603"/>
      <c r="I39" s="603"/>
      <c r="J39"/>
    </row>
    <row r="40" customHeight="1" spans="1:10">
      <c r="A40" s="685"/>
      <c r="B40" s="694" t="s">
        <v>45</v>
      </c>
      <c r="C40" s="696"/>
      <c r="D40" s="976" t="str">
        <f ca="1">IF(Riepilogo_MaggCostoCostSott&gt;0,IF(Parametri_MaggiorazioneSottotettiCC&gt;0,TEXT(Parametri_MaggiorazioneSottotettiCC,"0%"),"Nessuna"),"")</f>
        <v/>
      </c>
      <c r="E40" s="832">
        <f ca="1">CC_AltriCosti_ValoreMaggCCRecSott</f>
        <v>0</v>
      </c>
      <c r="F40" s="690"/>
      <c r="G40" s="603"/>
      <c r="H40" s="603"/>
      <c r="I40" s="603"/>
      <c r="J40"/>
    </row>
    <row r="41" hidden="1" customHeight="1" spans="1:10">
      <c r="A41" s="685"/>
      <c r="B41" s="694" t="s">
        <v>46</v>
      </c>
      <c r="C41" s="696"/>
      <c r="D41" s="976" t="str">
        <f ca="1">IF(Riepilogo_CC_RiduzionePianoCasa&gt;0,IF(Par_PianoCasa_RidCC&gt;0,TEXT(Par_PianoCasa_RidCC,"0%")&amp;" a dedurre","Nessuna"),"")</f>
        <v/>
      </c>
      <c r="E41" s="977">
        <f ca="1">CC_RiduzionePianoCasa</f>
        <v>0</v>
      </c>
      <c r="F41" s="992"/>
      <c r="G41" s="603"/>
      <c r="H41" s="603"/>
      <c r="I41" s="603"/>
      <c r="J41"/>
    </row>
    <row r="42" customHeight="1" spans="1:10">
      <c r="A42" s="685"/>
      <c r="B42" s="694" t="s">
        <v>33</v>
      </c>
      <c r="C42" s="696"/>
      <c r="D42" s="976" t="str">
        <f ca="1">IF(Riepilogo_CC_RiduzioneDensificazione&gt;0,IF(Par_Rid_Densificazione_CC&gt;0,TEXT(Par_Rid_Densificazione_CC,"0%")&amp;" a dedurre","Nessuna"),"")</f>
        <v/>
      </c>
      <c r="E42" s="977">
        <f ca="1">CC_RiduzioneDensificazione</f>
        <v>0</v>
      </c>
      <c r="F42" s="992"/>
      <c r="G42" s="603"/>
      <c r="H42" s="603"/>
      <c r="I42" s="603"/>
      <c r="J42"/>
    </row>
    <row r="43" customHeight="1" spans="1:10">
      <c r="A43" s="685"/>
      <c r="B43" s="694" t="s">
        <v>47</v>
      </c>
      <c r="C43" s="696"/>
      <c r="D43" s="976" t="str">
        <f>IF(ConsumoSuolo&lt;&gt;"No",IF(ConsumoSuolo&gt;0,TEXT(ConsumoSuolo,"0%"),"Nessuna"),"")</f>
        <v/>
      </c>
      <c r="E43" s="977">
        <f ca="1">CC_MaggConsumoSuolo</f>
        <v>0</v>
      </c>
      <c r="F43" s="992"/>
      <c r="G43" s="603"/>
      <c r="H43" s="603"/>
      <c r="I43" s="603"/>
      <c r="J43"/>
    </row>
    <row r="44" customHeight="1" spans="1:10">
      <c r="A44" s="685"/>
      <c r="B44" s="694" t="s">
        <v>48</v>
      </c>
      <c r="C44" s="696"/>
      <c r="D44" s="976" t="str">
        <f>IF(CostoCostr_NuovaEdif_corrisposto_concessione_cong+CostoCostr_NuovaEdif_corrisposto_varianti+CostoCostr_Ristrutt_corrisposto_concessione_cong+CostoCostr_Ristrutt_corrisposto_varianti&gt;0," a dedurre","")</f>
        <v/>
      </c>
      <c r="E44" s="977">
        <f>CC_Corrisposto</f>
        <v>0</v>
      </c>
      <c r="F44" s="690"/>
      <c r="G44" s="603"/>
      <c r="H44" s="603"/>
      <c r="I44" s="603"/>
      <c r="J44"/>
    </row>
    <row r="45" customHeight="1" spans="1:10">
      <c r="A45" s="685"/>
      <c r="B45" s="833" t="s">
        <v>37</v>
      </c>
      <c r="C45" s="847"/>
      <c r="D45" s="976"/>
      <c r="E45" s="979">
        <f ca="1">Riepilogo_CostoCostEsclusoSott+Riepilogo_CostoCostSott+Riepilogo_MaggCostoCostSott-Riepilogo_CC_RiduzionePianoCasa-Riepilogo_CC_RiduzioneDensificazione+Riepilogo_MaggCostoCostConsumoSuolo-Costo_costruzione_Corrisposto</f>
        <v>0</v>
      </c>
      <c r="F45" s="690"/>
      <c r="G45" s="603"/>
      <c r="H45" s="603"/>
      <c r="I45" s="603"/>
      <c r="J45"/>
    </row>
    <row r="46" customHeight="1" spans="1:9">
      <c r="A46" s="685"/>
      <c r="B46" s="808" t="s">
        <v>49</v>
      </c>
      <c r="C46" s="809"/>
      <c r="D46" s="809"/>
      <c r="E46" s="809"/>
      <c r="F46" s="975"/>
      <c r="G46" s="603"/>
      <c r="H46" s="603"/>
      <c r="I46" s="603"/>
    </row>
    <row r="47" customHeight="1" spans="1:9">
      <c r="A47" s="685"/>
      <c r="B47" s="708" t="s">
        <v>50</v>
      </c>
      <c r="C47" s="710"/>
      <c r="D47" s="976"/>
      <c r="E47" s="832">
        <f>ROUND(CostoCostProg_ContributoDovuto-CostoCostStatoFatto_ContributoDovuto,2)</f>
        <v>0</v>
      </c>
      <c r="F47" s="690"/>
      <c r="G47" s="603"/>
      <c r="H47" s="603"/>
      <c r="I47" s="603"/>
    </row>
    <row r="48" hidden="1" customHeight="1" spans="1:9">
      <c r="A48" s="685"/>
      <c r="B48" s="694" t="s">
        <v>46</v>
      </c>
      <c r="C48" s="696"/>
      <c r="D48" s="976"/>
      <c r="E48" s="977">
        <f>CC_RiduzionePianoCasa_StFatto_Prog</f>
        <v>0</v>
      </c>
      <c r="F48" s="690"/>
      <c r="G48" s="603"/>
      <c r="H48" s="603"/>
      <c r="I48" s="603"/>
    </row>
    <row r="49" customHeight="1" spans="1:9">
      <c r="A49" s="685"/>
      <c r="B49" s="694" t="s">
        <v>33</v>
      </c>
      <c r="C49" s="696"/>
      <c r="D49" s="976" t="str">
        <f ca="1">IF(Riepilogo_CC_RiduzioneDensificazione&gt;0,IF(Par_Rid_Densificazione_CC&gt;0,TEXT(Par_Rid_Densificazione_CC,"0%")&amp;" a dedurre","Nessuna"),"")</f>
        <v/>
      </c>
      <c r="E49" s="977">
        <f>CC_RiduzioneDensificazione_StFatto_Prog</f>
        <v>0</v>
      </c>
      <c r="F49" s="690"/>
      <c r="G49" s="603"/>
      <c r="H49" s="603"/>
      <c r="I49" s="603"/>
    </row>
    <row r="50" customHeight="1" spans="1:9">
      <c r="A50" s="685"/>
      <c r="B50" s="694" t="s">
        <v>47</v>
      </c>
      <c r="C50" s="696"/>
      <c r="D50" s="976" t="str">
        <f>IF(ConsumoSuolo&lt;&gt;"No",IF(ConsumoSuolo&gt;0,TEXT(ConsumoSuolo,"0%"),"Nessuna"),"")</f>
        <v/>
      </c>
      <c r="E50" s="832">
        <f>CC_StFatto_MaggConsumoSuolo</f>
        <v>0</v>
      </c>
      <c r="F50" s="690"/>
      <c r="G50" s="603"/>
      <c r="H50" s="603"/>
      <c r="I50" s="603"/>
    </row>
    <row r="51" customHeight="1" spans="1:9">
      <c r="A51" s="685"/>
      <c r="B51" s="694" t="s">
        <v>48</v>
      </c>
      <c r="C51" s="696"/>
      <c r="D51" s="976" t="str">
        <f>IF(CostoCostr_NuovaEdif_Prog_corrisposto_concessione_cong+CostoCostr_NuovaEdif_Prog_corrisposto_varianti+CostoCostr_NuovaEdif_StFatto_corrisposto_concessione_cong+CostoCostr_NuovaEdif_StFatto_corrisposto_varianti&gt;0," a dedurre","")</f>
        <v/>
      </c>
      <c r="E51" s="832">
        <f>CostoCostr_Prog_StFatto_corrisposto</f>
        <v>0</v>
      </c>
      <c r="F51" s="690"/>
      <c r="G51" s="603"/>
      <c r="H51" s="603"/>
      <c r="I51" s="603"/>
    </row>
    <row r="52" customHeight="1" spans="1:9">
      <c r="A52" s="685"/>
      <c r="B52" s="833" t="s">
        <v>37</v>
      </c>
      <c r="C52" s="847"/>
      <c r="D52" s="976"/>
      <c r="E52" s="993">
        <f>RiepilogoCostoCostruzione_StatoFattoProgetto_Dovuto-RiepilogoCostoCostruzione_StatoFattoProgetto_Corrisposto-RiepilogoCostoCostruzione_StatoFattoProgetto_PianoCasa-RiepilogoCostoCostruzione_StatoFattoProgetto_Densifcazione+Riepilogo_MaggCostoStFattoCostConsumoSuolo</f>
        <v>0</v>
      </c>
      <c r="F52" s="690"/>
      <c r="G52" s="603"/>
      <c r="H52" s="603"/>
      <c r="I52" s="603"/>
    </row>
    <row r="53" customHeight="1" spans="1:9">
      <c r="A53" s="685"/>
      <c r="B53" s="994"/>
      <c r="C53" s="982"/>
      <c r="D53" s="995"/>
      <c r="E53" s="984"/>
      <c r="F53" s="690"/>
      <c r="G53" s="603"/>
      <c r="H53" s="603"/>
      <c r="I53" s="603"/>
    </row>
    <row r="54" customHeight="1" spans="1:9">
      <c r="A54" s="685"/>
      <c r="B54" s="985" t="s">
        <v>42</v>
      </c>
      <c r="C54" s="986"/>
      <c r="D54" s="976"/>
      <c r="E54" s="988">
        <f ca="1">Riepilogo_CostoCostruzione+Riepilogo_CostoCostruzione_StatoFattoProgetto</f>
        <v>0</v>
      </c>
      <c r="F54" s="690"/>
      <c r="G54" s="603"/>
      <c r="H54" s="603"/>
      <c r="I54" s="603"/>
    </row>
    <row r="55" customHeight="1" spans="1:9">
      <c r="A55" s="685"/>
      <c r="B55" s="996"/>
      <c r="C55" s="997"/>
      <c r="D55" s="997"/>
      <c r="E55" s="997"/>
      <c r="F55" s="998"/>
      <c r="G55" s="603"/>
      <c r="H55" s="603"/>
      <c r="I55" s="603"/>
    </row>
    <row r="56" ht="15" customHeight="1" spans="1:10">
      <c r="A56" s="685"/>
      <c r="B56" s="999" t="s">
        <v>37</v>
      </c>
      <c r="C56" s="1000"/>
      <c r="D56" s="1001"/>
      <c r="E56" s="1002">
        <f ca="1">ROUND(Riepilogo_OneriUrbanizzazione+Riepilogo_CostoCostruzione_totale,2)</f>
        <v>0</v>
      </c>
      <c r="F56" s="1003"/>
      <c r="J56"/>
    </row>
    <row r="57" customHeight="1" spans="1:10">
      <c r="A57" s="685"/>
      <c r="B57" s="1004"/>
      <c r="C57" s="712"/>
      <c r="D57" s="712"/>
      <c r="E57" s="868"/>
      <c r="F57" s="706"/>
      <c r="G57"/>
      <c r="H57" s="603"/>
      <c r="I57" s="603"/>
      <c r="J57"/>
    </row>
    <row r="58" ht="15" customHeight="1" spans="1:10">
      <c r="A58" s="685"/>
      <c r="B58" s="682" t="s">
        <v>51</v>
      </c>
      <c r="C58" s="683"/>
      <c r="D58" s="683"/>
      <c r="E58" s="683"/>
      <c r="F58" s="684"/>
      <c r="G58"/>
      <c r="H58" s="603"/>
      <c r="I58" s="603"/>
      <c r="J58"/>
    </row>
    <row r="59" ht="15" customHeight="1" spans="1:10">
      <c r="A59" s="685"/>
      <c r="B59" s="708" t="s">
        <v>52</v>
      </c>
      <c r="C59" s="710"/>
      <c r="D59" s="976"/>
      <c r="E59" s="845">
        <f ca="1">CC_Oblazione</f>
        <v>0</v>
      </c>
      <c r="F59" s="858"/>
      <c r="G59"/>
      <c r="H59" s="603"/>
      <c r="I59" s="603"/>
      <c r="J59"/>
    </row>
    <row r="60" customHeight="1" spans="1:10">
      <c r="A60" s="685"/>
      <c r="B60" s="708" t="str">
        <f>CC_AltriCosti_SanzioneLabel</f>
        <v>Sanzione pecuniaria per interventi in sanatoria</v>
      </c>
      <c r="C60" s="710"/>
      <c r="D60" s="976"/>
      <c r="E60" s="845">
        <f>CC_AltriCosti_Sanzione</f>
        <v>0</v>
      </c>
      <c r="F60" s="690"/>
      <c r="G60"/>
      <c r="H60" s="603"/>
      <c r="I60" s="603"/>
      <c r="J60"/>
    </row>
    <row r="61" customHeight="1" spans="1:9">
      <c r="A61" s="685"/>
      <c r="B61" s="694" t="s">
        <v>53</v>
      </c>
      <c r="C61" s="696"/>
      <c r="D61" s="976"/>
      <c r="E61" s="832">
        <f>Co_MonAreeStand</f>
        <v>0</v>
      </c>
      <c r="F61" s="690"/>
      <c r="G61"/>
      <c r="H61" s="603"/>
      <c r="I61" s="603"/>
    </row>
    <row r="62" customHeight="1" spans="1:7">
      <c r="A62" s="685"/>
      <c r="B62" s="694" t="s">
        <v>54</v>
      </c>
      <c r="C62" s="696"/>
      <c r="D62" s="976"/>
      <c r="E62" s="977">
        <f>Co_MonAreeParc</f>
        <v>0</v>
      </c>
      <c r="F62" s="690"/>
      <c r="G62"/>
    </row>
    <row r="63" customHeight="1" spans="1:9">
      <c r="A63" s="685"/>
      <c r="B63" s="694" t="str">
        <f>OnUrb_AltriCosti_DescMaggCostoCAreeAgr</f>
        <v>Maggiorazione sugli oneri di urbanizzazione per Fondo Aree Verdi</v>
      </c>
      <c r="C63" s="696"/>
      <c r="D63" s="976"/>
      <c r="E63" s="832">
        <f>OnUrb_AltriCosti_ValoreMaggCostoCAreeAgr</f>
        <v>0</v>
      </c>
      <c r="F63" s="690"/>
      <c r="G63"/>
      <c r="H63" s="603"/>
      <c r="I63" s="603"/>
    </row>
    <row r="64" s="763" customFormat="1" customHeight="1" spans="1:13">
      <c r="A64" s="782"/>
      <c r="B64" s="694" t="str">
        <f>CC_AltriCosti_DescMaggCostoCAreeAgr</f>
        <v>Maggiorazione sul costo di costruzione per Fondo Aree Verdi</v>
      </c>
      <c r="C64" s="696"/>
      <c r="D64" s="976"/>
      <c r="E64" s="977">
        <f ca="1">CC_AltriCosti_ValoreMaggCostoCAreeAgr</f>
        <v>0</v>
      </c>
      <c r="F64" s="690"/>
      <c r="G64"/>
      <c r="H64" s="1005"/>
      <c r="I64" s="1006"/>
      <c r="J64" s="1007">
        <f ca="1">IF(Ou_NuovaEd_AreaAgricola="Sì",((ImportoCostoCostruzione+ImportoOneriUrbanizzazione)*Par_Maggiorazione_AreeAgric)/100,0)</f>
        <v>0</v>
      </c>
      <c r="K64" s="1008"/>
      <c r="L64" s="603"/>
      <c r="M64" s="603"/>
    </row>
    <row r="65" s="763" customFormat="1" customHeight="1" spans="1:13">
      <c r="A65" s="782"/>
      <c r="B65" s="996"/>
      <c r="C65" s="997"/>
      <c r="D65" s="997"/>
      <c r="E65" s="997"/>
      <c r="F65" s="998"/>
      <c r="G65"/>
      <c r="H65" s="1009"/>
      <c r="I65" s="1006"/>
      <c r="J65" s="1030"/>
      <c r="K65" s="1031"/>
      <c r="L65" s="603"/>
      <c r="M65" s="603"/>
    </row>
    <row r="66" ht="15" customHeight="1" spans="1:7">
      <c r="A66" s="685"/>
      <c r="B66" s="999" t="s">
        <v>37</v>
      </c>
      <c r="C66" s="1000"/>
      <c r="D66" s="1001"/>
      <c r="E66" s="1002">
        <f ca="1">Riepilogo_Oblazione+Riepilogo_Sanzione+Riepilogo_MonetizzAreeStand+Riepilogo_MonetizzParcheggi+Riepilogo_OnUrb_AltriCosti_ValoreMaggCostoCAreeAgr+Riepilogo_CC_AltriCosti_ValoreMaggCostoCAreeAgr</f>
        <v>0</v>
      </c>
      <c r="F66" s="1003"/>
      <c r="G66"/>
    </row>
    <row r="67" customHeight="1" spans="1:7">
      <c r="A67" s="685"/>
      <c r="B67" s="712"/>
      <c r="C67" s="712"/>
      <c r="D67" s="712"/>
      <c r="E67" s="868"/>
      <c r="F67" s="201"/>
      <c r="G67"/>
    </row>
    <row r="68" ht="15" customHeight="1" spans="1:7">
      <c r="A68" s="698"/>
      <c r="B68" s="1010" t="s">
        <v>55</v>
      </c>
      <c r="C68" s="1011"/>
      <c r="D68" s="976"/>
      <c r="E68" s="1012">
        <f ca="1">Complessivo_ConMagg</f>
        <v>0</v>
      </c>
      <c r="F68" s="1013"/>
      <c r="G68"/>
    </row>
    <row r="69" customHeight="1" spans="1:7">
      <c r="A69" s="201"/>
      <c r="B69" s="706"/>
      <c r="C69" s="706"/>
      <c r="D69" s="706"/>
      <c r="E69" s="706"/>
      <c r="F69" s="706"/>
      <c r="G69"/>
    </row>
    <row r="70" ht="15" customHeight="1" spans="1:6">
      <c r="A70" s="200"/>
      <c r="B70" s="682" t="s">
        <v>56</v>
      </c>
      <c r="C70" s="683"/>
      <c r="D70" s="683"/>
      <c r="E70" s="683"/>
      <c r="F70" s="684"/>
    </row>
    <row r="71" customHeight="1" spans="1:6">
      <c r="A71" s="201"/>
      <c r="B71" s="708" t="s">
        <v>57</v>
      </c>
      <c r="C71" s="710"/>
      <c r="D71" s="1014"/>
      <c r="E71" s="1015">
        <f>DetCL_DettContCostoCost_SommaIncrementi</f>
        <v>0</v>
      </c>
      <c r="F71" s="690"/>
    </row>
    <row r="72" customHeight="1" spans="1:6">
      <c r="A72" s="201"/>
      <c r="B72" s="694" t="s">
        <v>58</v>
      </c>
      <c r="C72" s="696"/>
      <c r="D72" s="1014"/>
      <c r="E72" s="1016" t="str">
        <f ca="1">IF(DetCL_DettContCostoCost_SommaIncrementi&gt;0,DetClasse_CostoCostruzClasse,"")</f>
        <v/>
      </c>
      <c r="F72" s="690"/>
    </row>
    <row r="73" customHeight="1" spans="1:6">
      <c r="A73" s="201"/>
      <c r="B73" s="694" t="s">
        <v>59</v>
      </c>
      <c r="C73" s="696"/>
      <c r="D73" s="1014"/>
      <c r="E73" s="1017">
        <f ca="1">DetClasse_Maggiorazione</f>
        <v>0</v>
      </c>
      <c r="F73" s="690"/>
    </row>
    <row r="74" customHeight="1" spans="1:6">
      <c r="A74" s="201"/>
      <c r="B74" s="694" t="s">
        <v>60</v>
      </c>
      <c r="C74" s="696"/>
      <c r="D74" s="1014"/>
      <c r="E74" s="1018">
        <f>CostoCost_NuovaCost_SupCompl</f>
        <v>0</v>
      </c>
      <c r="F74" s="690"/>
    </row>
    <row r="75" customHeight="1" spans="1:6">
      <c r="A75" s="201"/>
      <c r="B75" s="694" t="s">
        <v>61</v>
      </c>
      <c r="C75" s="696"/>
      <c r="D75" s="1014"/>
      <c r="E75" s="1018">
        <f>+CostoCost_Rist_SupCompl</f>
        <v>0</v>
      </c>
      <c r="F75" s="690"/>
    </row>
    <row r="76" customHeight="1" spans="1:6">
      <c r="A76" s="201"/>
      <c r="B76" s="694" t="s">
        <v>62</v>
      </c>
      <c r="C76" s="696"/>
      <c r="D76" s="1014"/>
      <c r="E76" s="1018">
        <f>CostoCost_Sot_SupCompl</f>
        <v>0</v>
      </c>
      <c r="F76" s="690"/>
    </row>
    <row r="77" customHeight="1" spans="1:6">
      <c r="A77" s="1019"/>
      <c r="B77" s="1020"/>
      <c r="C77" s="1021"/>
      <c r="D77" s="1021"/>
      <c r="E77" s="1021"/>
      <c r="F77" s="1022"/>
    </row>
    <row r="78" customHeight="1" spans="1:6">
      <c r="A78" s="201"/>
      <c r="B78" s="1023"/>
      <c r="C78" s="1023"/>
      <c r="D78" s="1023"/>
      <c r="E78" s="1024"/>
      <c r="F78" s="1023"/>
    </row>
    <row r="79" ht="15" customHeight="1" spans="1:6">
      <c r="A79" s="200"/>
      <c r="B79" s="682" t="s">
        <v>63</v>
      </c>
      <c r="C79" s="683"/>
      <c r="D79" s="683"/>
      <c r="E79" s="683"/>
      <c r="F79" s="684"/>
    </row>
    <row r="80" customHeight="1" spans="1:6">
      <c r="A80" s="201"/>
      <c r="B80" s="708" t="s">
        <v>64</v>
      </c>
      <c r="C80" s="710"/>
      <c r="D80" s="1014"/>
      <c r="E80" s="1025">
        <f>Volume_Recupero_Sottotetti</f>
        <v>0</v>
      </c>
      <c r="F80" s="690"/>
    </row>
    <row r="81" customHeight="1" spans="1:6">
      <c r="A81" s="201"/>
      <c r="B81" s="694" t="s">
        <v>65</v>
      </c>
      <c r="C81" s="696"/>
      <c r="D81" s="1014"/>
      <c r="E81" s="1026">
        <f>COUNTIF(Calcolo_sup_parcheggi_tot_volume_UIU,"&gt;0")</f>
        <v>0</v>
      </c>
      <c r="F81" s="690"/>
    </row>
    <row r="82" customHeight="1" spans="1:6">
      <c r="A82" s="201"/>
      <c r="B82" s="694" t="s">
        <v>66</v>
      </c>
      <c r="C82" s="696"/>
      <c r="D82" s="1014"/>
      <c r="E82" s="1018">
        <f>Parcheggio_Recupero_Sottotetti</f>
        <v>0</v>
      </c>
      <c r="F82" s="690"/>
    </row>
    <row r="83" customHeight="1" spans="1:6">
      <c r="A83" s="1027"/>
      <c r="B83" s="1028"/>
      <c r="C83" s="1029"/>
      <c r="D83" s="1029"/>
      <c r="E83" s="1029"/>
      <c r="F83" s="707"/>
    </row>
    <row r="84" customHeight="1" spans="1:6">
      <c r="A84" s="201"/>
      <c r="B84" s="49"/>
      <c r="C84" s="49"/>
      <c r="D84" s="49"/>
      <c r="E84" s="49"/>
      <c r="F84" s="49"/>
    </row>
    <row r="85" hidden="1" spans="1:6">
      <c r="A85" s="201"/>
      <c r="B85" s="49"/>
      <c r="C85" s="49"/>
      <c r="D85" s="49"/>
      <c r="E85" s="49"/>
      <c r="F85" s="49"/>
    </row>
    <row r="86" hidden="1" spans="1:6">
      <c r="A86" s="201"/>
      <c r="B86" s="49"/>
      <c r="C86" s="49"/>
      <c r="D86" s="49"/>
      <c r="E86" s="49"/>
      <c r="F86" s="49"/>
    </row>
    <row r="87" hidden="1" spans="1:6">
      <c r="A87" s="201"/>
      <c r="B87" s="49"/>
      <c r="C87" s="49"/>
      <c r="D87" s="49"/>
      <c r="E87" s="49"/>
      <c r="F87" s="49"/>
    </row>
    <row r="88" hidden="1" spans="1:1">
      <c r="A88" s="865"/>
    </row>
    <row r="89" hidden="1" spans="1:1">
      <c r="A89" s="28"/>
    </row>
    <row r="90" hidden="1" spans="1:1">
      <c r="A90" s="28"/>
    </row>
    <row r="91" hidden="1" spans="1:1">
      <c r="A91" s="28"/>
    </row>
    <row r="92" hidden="1" spans="1:1">
      <c r="A92" s="28"/>
    </row>
    <row r="93" hidden="1" spans="1:1">
      <c r="A93" s="28"/>
    </row>
    <row r="94" hidden="1" spans="1:1">
      <c r="A94" s="28"/>
    </row>
    <row r="95" hidden="1" spans="1:1">
      <c r="A95" s="28"/>
    </row>
    <row r="96" hidden="1" spans="1:1">
      <c r="A96" s="28"/>
    </row>
    <row r="97" hidden="1" spans="1:1">
      <c r="A97" s="28"/>
    </row>
    <row r="98" hidden="1" spans="1:1">
      <c r="A98" s="28"/>
    </row>
    <row r="99" hidden="1" spans="1:1">
      <c r="A99" s="28"/>
    </row>
    <row r="100" hidden="1" spans="1:1">
      <c r="A100" s="28"/>
    </row>
    <row r="101" hidden="1" spans="1:1">
      <c r="A101" s="28"/>
    </row>
    <row r="102" hidden="1" spans="1:1">
      <c r="A102" s="28"/>
    </row>
    <row r="103" hidden="1" spans="1:1">
      <c r="A103" s="28"/>
    </row>
    <row r="104" hidden="1" spans="1:1">
      <c r="A104" s="28"/>
    </row>
    <row r="105" hidden="1" spans="1:1">
      <c r="A105" s="28"/>
    </row>
    <row r="106" hidden="1" spans="1:1">
      <c r="A106" s="28"/>
    </row>
    <row r="107" hidden="1" spans="1:1">
      <c r="A107" s="28"/>
    </row>
    <row r="108" hidden="1" spans="1:1">
      <c r="A108" s="28"/>
    </row>
    <row r="109" hidden="1" spans="1:1">
      <c r="A109" s="28"/>
    </row>
    <row r="110" hidden="1" spans="1:1">
      <c r="A110" s="28"/>
    </row>
    <row r="111" hidden="1" spans="1:1">
      <c r="A111" s="28"/>
    </row>
    <row r="112" hidden="1" spans="1:1">
      <c r="A112" s="28"/>
    </row>
    <row r="113" hidden="1" spans="1:1">
      <c r="A113" s="28"/>
    </row>
    <row r="114" hidden="1" spans="1:1">
      <c r="A114" s="28"/>
    </row>
    <row r="115" hidden="1" spans="1:1">
      <c r="A115" s="28"/>
    </row>
    <row r="116" hidden="1" spans="1:1">
      <c r="A116" s="28"/>
    </row>
    <row r="117" hidden="1" spans="1:1">
      <c r="A117" s="28"/>
    </row>
    <row r="118" hidden="1" spans="1:1">
      <c r="A118" s="28"/>
    </row>
    <row r="119" hidden="1" spans="1:1">
      <c r="A119" s="28"/>
    </row>
    <row r="120" hidden="1" spans="1:1">
      <c r="A120" s="28"/>
    </row>
    <row r="121" hidden="1" spans="1:1">
      <c r="A121" s="28"/>
    </row>
    <row r="165" hidden="1" customHeight="1"/>
    <row r="166" hidden="1" customHeight="1"/>
    <row r="167" hidden="1" customHeight="1"/>
    <row r="168" hidden="1" customHeight="1"/>
    <row r="169" hidden="1" customHeight="1"/>
  </sheetData>
  <sheetProtection password="83CC" sheet="1" formatColumns="0" formatRows="0" insertRows="0" objects="1" scenarios="1"/>
  <mergeCells count="73">
    <mergeCell ref="B2:F2"/>
    <mergeCell ref="B3:F3"/>
    <mergeCell ref="B4:C4"/>
    <mergeCell ref="B5:C5"/>
    <mergeCell ref="B6:C6"/>
    <mergeCell ref="B7:C7"/>
    <mergeCell ref="B8:C8"/>
    <mergeCell ref="B9:C9"/>
    <mergeCell ref="B10:C10"/>
    <mergeCell ref="B11:C11"/>
    <mergeCell ref="B12:C12"/>
    <mergeCell ref="B13:C13"/>
    <mergeCell ref="B14:C14"/>
    <mergeCell ref="B15:C15"/>
    <mergeCell ref="B16:F16"/>
    <mergeCell ref="B17:C17"/>
    <mergeCell ref="B18:C18"/>
    <mergeCell ref="B19:C19"/>
    <mergeCell ref="B20:C20"/>
    <mergeCell ref="B21:C21"/>
    <mergeCell ref="B22:C22"/>
    <mergeCell ref="B23:C23"/>
    <mergeCell ref="B24:C24"/>
    <mergeCell ref="B25:C25"/>
    <mergeCell ref="B26:C26"/>
    <mergeCell ref="B27:C27"/>
    <mergeCell ref="B28:C28"/>
    <mergeCell ref="B29:F29"/>
    <mergeCell ref="B30:C30"/>
    <mergeCell ref="B31:C31"/>
    <mergeCell ref="B32:C32"/>
    <mergeCell ref="B35:C35"/>
    <mergeCell ref="B37:F37"/>
    <mergeCell ref="B38:C38"/>
    <mergeCell ref="B39:C39"/>
    <mergeCell ref="B40:C40"/>
    <mergeCell ref="B41:C41"/>
    <mergeCell ref="B42:C42"/>
    <mergeCell ref="B43:C43"/>
    <mergeCell ref="B44:C44"/>
    <mergeCell ref="B45:C45"/>
    <mergeCell ref="B46:F46"/>
    <mergeCell ref="B47:C47"/>
    <mergeCell ref="B48:C48"/>
    <mergeCell ref="B49:C49"/>
    <mergeCell ref="B50:C50"/>
    <mergeCell ref="B51:C51"/>
    <mergeCell ref="B52:C52"/>
    <mergeCell ref="B54:C54"/>
    <mergeCell ref="B55:F55"/>
    <mergeCell ref="B56:C56"/>
    <mergeCell ref="B58:F58"/>
    <mergeCell ref="B59:C59"/>
    <mergeCell ref="B60:C60"/>
    <mergeCell ref="B61:C61"/>
    <mergeCell ref="B62:C62"/>
    <mergeCell ref="B63:C63"/>
    <mergeCell ref="B64:C64"/>
    <mergeCell ref="B65:F65"/>
    <mergeCell ref="B66:C66"/>
    <mergeCell ref="B68:C68"/>
    <mergeCell ref="B70:F70"/>
    <mergeCell ref="B71:C71"/>
    <mergeCell ref="B72:C72"/>
    <mergeCell ref="B73:C73"/>
    <mergeCell ref="B74:C74"/>
    <mergeCell ref="B75:C75"/>
    <mergeCell ref="B76:C76"/>
    <mergeCell ref="B77:F77"/>
    <mergeCell ref="B79:F79"/>
    <mergeCell ref="B80:C80"/>
    <mergeCell ref="B81:C81"/>
    <mergeCell ref="B82:C82"/>
  </mergeCells>
  <hyperlinks>
    <hyperlink ref="G7" location="'Procedura guidata'!A1" display="Torna alla procedura guidata!"/>
  </hyperlinks>
  <printOptions horizontalCentered="1"/>
  <pageMargins left="0.118110236220472" right="0.118110236220472" top="0.15748031496063" bottom="0.15748031496063" header="0.31496062992126" footer="0.31496062992126"/>
  <pageSetup paperSize="9" scale="83" orientation="portrait"/>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Foglio2"/>
  <dimension ref="A1:IV197"/>
  <sheetViews>
    <sheetView showGridLines="0" showZeros="0" workbookViewId="0">
      <selection activeCell="A1" sqref="A1"/>
    </sheetView>
  </sheetViews>
  <sheetFormatPr defaultColWidth="0" defaultRowHeight="12.75" zeroHeight="1"/>
  <cols>
    <col min="1" max="1" width="5.71428571428571" customWidth="1"/>
    <col min="2" max="2" width="32.2857142857143" customWidth="1"/>
    <col min="3" max="3" width="7" customWidth="1"/>
    <col min="4" max="4" width="16.7142857142857" customWidth="1"/>
    <col min="5" max="5" width="2.28571428571429" customWidth="1"/>
    <col min="6" max="6" width="16.7142857142857" customWidth="1"/>
    <col min="7" max="7" width="10.2857142857143" customWidth="1"/>
    <col min="8" max="8" width="16.7142857142857" customWidth="1"/>
    <col min="9" max="9" width="2.28571428571429" customWidth="1"/>
    <col min="10" max="10" width="16.7142857142857" customWidth="1"/>
    <col min="11" max="11" width="2.28571428571429" customWidth="1"/>
    <col min="12" max="13" width="12.7142857142857" customWidth="1"/>
    <col min="14" max="14" width="1.85714285714286" customWidth="1"/>
    <col min="15" max="15" width="18.7142857142857" customWidth="1"/>
    <col min="16" max="255" width="0" hidden="1" customWidth="1"/>
    <col min="256" max="16384" width="9.14285714285714" hidden="1"/>
  </cols>
  <sheetData>
    <row r="1" s="49" customFormat="1" customHeight="1" spans="1:14">
      <c r="A1" s="201"/>
      <c r="B1" s="766"/>
      <c r="C1" s="767"/>
      <c r="D1" s="767"/>
      <c r="E1" s="767"/>
      <c r="F1" s="767"/>
      <c r="G1" s="767"/>
      <c r="H1" s="767"/>
      <c r="I1" s="767"/>
      <c r="J1" s="767"/>
      <c r="K1" s="767"/>
      <c r="L1" s="201"/>
      <c r="M1" s="811"/>
      <c r="N1" s="811"/>
    </row>
    <row r="2" s="760" customFormat="1" ht="15" customHeight="1" spans="1:15">
      <c r="A2" s="768"/>
      <c r="B2" s="769" t="s">
        <v>67</v>
      </c>
      <c r="C2" s="770"/>
      <c r="D2" s="770"/>
      <c r="E2" s="770"/>
      <c r="F2" s="770"/>
      <c r="G2" s="770"/>
      <c r="H2" s="770"/>
      <c r="I2" s="770"/>
      <c r="J2" s="770"/>
      <c r="K2" s="770"/>
      <c r="L2" s="770"/>
      <c r="M2" s="770"/>
      <c r="N2" s="812"/>
      <c r="O2" s="544"/>
    </row>
    <row r="3" s="761" customFormat="1" ht="15" customHeight="1" spans="1:15">
      <c r="A3" s="771"/>
      <c r="B3" s="772"/>
      <c r="C3" s="773"/>
      <c r="D3" s="774" t="s">
        <v>68</v>
      </c>
      <c r="E3" s="774"/>
      <c r="F3" s="774"/>
      <c r="G3" s="775"/>
      <c r="H3" s="774" t="s">
        <v>6</v>
      </c>
      <c r="I3" s="774"/>
      <c r="J3" s="774"/>
      <c r="K3" s="813"/>
      <c r="L3" s="814" t="s">
        <v>37</v>
      </c>
      <c r="M3" s="814"/>
      <c r="N3" s="815"/>
      <c r="O3" s="545"/>
    </row>
    <row r="4" s="762" customFormat="1" ht="20.1" customHeight="1" spans="1:15">
      <c r="A4" s="776"/>
      <c r="B4" s="777" t="str">
        <f>Parametri_DestUsoPersonalizzazione1&amp;IF(EdiliziaConvenzionata="No",""," edilizia convenzionata")</f>
        <v>Residenziale</v>
      </c>
      <c r="C4" s="778"/>
      <c r="D4" s="779">
        <f>Ou_Cost_Res_NuovaEdif</f>
        <v>0</v>
      </c>
      <c r="E4" s="780"/>
      <c r="F4" s="780"/>
      <c r="G4" s="781"/>
      <c r="H4" s="780">
        <f>Ou_Rist_Res</f>
        <v>0</v>
      </c>
      <c r="I4" s="780"/>
      <c r="J4" s="780"/>
      <c r="K4" s="816"/>
      <c r="L4" s="798"/>
      <c r="M4" s="798"/>
      <c r="N4" s="817"/>
      <c r="O4" s="546"/>
    </row>
    <row r="5" s="763" customFormat="1" customHeight="1" spans="1:15">
      <c r="A5" s="782"/>
      <c r="B5" s="783" t="s">
        <v>69</v>
      </c>
      <c r="C5" s="784"/>
      <c r="D5" s="785">
        <f>IF(ISERROR(MATCH(ZonaTerritoriale,ElencoZone,0))=TRUE,0,INDEX(MatriceParametri,MATCH(ZonaTerritoriale,ElencoZone,0),IF(DatiGen_ResidenzialeClasseA="No",1,3)))</f>
        <v>3.8</v>
      </c>
      <c r="E5" s="786"/>
      <c r="F5" s="787">
        <f>PRODUCT(D4,D5)</f>
        <v>0</v>
      </c>
      <c r="G5" s="788"/>
      <c r="H5" s="785">
        <f>IF(ISERROR(MATCH(ZonaTerritoriale,ElencoZone,0))=TRUE,0,INDEX(MatriceParametri,MATCH(ZonaTerritoriale,ElencoZone,0),IF(DatiGen_ResidenzialeClasseA="No",2,4)))</f>
        <v>2.3</v>
      </c>
      <c r="I5" s="786"/>
      <c r="J5" s="787">
        <f>PRODUCT(H4,H5)</f>
        <v>0</v>
      </c>
      <c r="K5" s="818"/>
      <c r="L5" s="819">
        <f>ROUND(SUM(F5,J5),2)</f>
        <v>0</v>
      </c>
      <c r="M5" s="820"/>
      <c r="N5" s="821">
        <f>SUM(F5,J5)*DescInt_RisparmioPercent</f>
        <v>0</v>
      </c>
      <c r="O5" s="549" t="s">
        <v>30</v>
      </c>
    </row>
    <row r="6" s="763" customFormat="1" customHeight="1" spans="1:15">
      <c r="A6" s="782"/>
      <c r="B6" s="789" t="s">
        <v>70</v>
      </c>
      <c r="C6" s="790"/>
      <c r="D6" s="791">
        <f>IF(ISERROR(MATCH(ZonaTerritoriale,ElencoZone,0))=TRUE,0,INDEX(MatriceParametri,MATCH(ZonaTerritoriale,ElencoZone,0)+1,IF(DatiGen_ResidenzialeClasseA="No",1,3)))</f>
        <v>11.4</v>
      </c>
      <c r="E6" s="786"/>
      <c r="F6" s="792">
        <f>PRODUCT(D4,D6)</f>
        <v>0</v>
      </c>
      <c r="G6" s="793"/>
      <c r="H6" s="791">
        <f>IF(ISERROR(MATCH(ZonaTerritoriale,ElencoZone,0))=TRUE,0,INDEX(MatriceParametri,MATCH(ZonaTerritoriale,ElencoZone,0)+1,IF(DatiGen_ResidenzialeClasseA="No",2,4)))</f>
        <v>3.7</v>
      </c>
      <c r="I6" s="786"/>
      <c r="J6" s="792">
        <f>PRODUCT(H4,H6)</f>
        <v>0</v>
      </c>
      <c r="K6" s="822"/>
      <c r="L6" s="819">
        <f>ROUND(SUM(F6,J6),2)</f>
        <v>0</v>
      </c>
      <c r="M6" s="820"/>
      <c r="N6" s="821">
        <f>SUM(F6,J6)*DescInt_RisparmioPercent</f>
        <v>0</v>
      </c>
      <c r="O6" s="549"/>
    </row>
    <row r="7" s="763" customFormat="1" customHeight="1" spans="1:15">
      <c r="A7" s="782"/>
      <c r="B7" s="789" t="s">
        <v>71</v>
      </c>
      <c r="C7" s="790"/>
      <c r="D7" s="794">
        <f>IF(ISERROR(MATCH(ZonaTerritoriale,ElencoZone,0))=TRUE,0,INDEX(MatriceParametri,MATCH(ZonaTerritoriale,ElencoZone,0)+2,IF(DatiGen_ResidenzialeClasseA="No",1,3)))</f>
        <v>0</v>
      </c>
      <c r="E7" s="786"/>
      <c r="F7" s="792">
        <f>PRODUCT(D4,D7)</f>
        <v>0</v>
      </c>
      <c r="G7" s="793"/>
      <c r="H7" s="794">
        <f>IF(ISERROR(MATCH(ZonaTerritoriale,ElencoZone,0))=TRUE,0,INDEX(MatriceParametri,MATCH(ZonaTerritoriale,ElencoZone,0)+2,IF(DatiGen_ResidenzialeClasseA="No",2,4)))</f>
        <v>0</v>
      </c>
      <c r="I7" s="786"/>
      <c r="J7" s="792">
        <f>PRODUCT(H4,H7)</f>
        <v>0</v>
      </c>
      <c r="K7" s="822"/>
      <c r="L7" s="819">
        <f>ROUND(SUM(F7,J7),2)</f>
        <v>0</v>
      </c>
      <c r="M7" s="820"/>
      <c r="N7" s="823"/>
      <c r="O7" s="603"/>
    </row>
    <row r="8" s="762" customFormat="1" ht="20.1" customHeight="1" spans="1:256">
      <c r="A8" s="776"/>
      <c r="B8" s="777" t="str">
        <f>Parametri_DestUsoPersonalizzazione2</f>
        <v>Commerciale direzionale</v>
      </c>
      <c r="C8" s="778"/>
      <c r="D8" s="795">
        <f>Ou_Cost_Comm_NuovaEdif</f>
        <v>0</v>
      </c>
      <c r="E8" s="795"/>
      <c r="F8" s="795"/>
      <c r="G8" s="781"/>
      <c r="H8" s="795">
        <f>Ou_Rist_Com</f>
        <v>0</v>
      </c>
      <c r="I8" s="795"/>
      <c r="J8" s="795"/>
      <c r="K8" s="824"/>
      <c r="L8" s="798"/>
      <c r="M8" s="798"/>
      <c r="N8" s="817"/>
      <c r="O8" s="546"/>
      <c r="P8" s="546"/>
      <c r="Q8" s="546"/>
      <c r="R8" s="546"/>
      <c r="S8" s="546"/>
      <c r="T8" s="546"/>
      <c r="U8" s="546"/>
      <c r="V8" s="546"/>
      <c r="W8" s="546"/>
      <c r="X8" s="546"/>
      <c r="Y8" s="546"/>
      <c r="Z8" s="546"/>
      <c r="AA8" s="546"/>
      <c r="AB8" s="546"/>
      <c r="AC8" s="546"/>
      <c r="AD8" s="546"/>
      <c r="AE8" s="546"/>
      <c r="AF8" s="546"/>
      <c r="AG8" s="546"/>
      <c r="AH8" s="546"/>
      <c r="AI8" s="546"/>
      <c r="AJ8" s="546"/>
      <c r="AK8" s="546"/>
      <c r="AL8" s="546"/>
      <c r="AM8" s="546"/>
      <c r="AN8" s="546"/>
      <c r="AO8" s="546"/>
      <c r="AP8" s="546"/>
      <c r="AQ8" s="546"/>
      <c r="AR8" s="546"/>
      <c r="AS8" s="546"/>
      <c r="AT8" s="546"/>
      <c r="AU8" s="546"/>
      <c r="AV8" s="546"/>
      <c r="AW8" s="546"/>
      <c r="AX8" s="546"/>
      <c r="AY8" s="546"/>
      <c r="AZ8" s="546"/>
      <c r="BA8" s="546"/>
      <c r="BB8" s="546"/>
      <c r="BC8" s="546"/>
      <c r="BD8" s="546"/>
      <c r="BE8" s="546"/>
      <c r="BF8" s="546"/>
      <c r="BG8" s="546"/>
      <c r="BH8" s="546"/>
      <c r="BI8" s="546"/>
      <c r="BJ8" s="546"/>
      <c r="BK8" s="546"/>
      <c r="BL8" s="546"/>
      <c r="BM8" s="546"/>
      <c r="BN8" s="546"/>
      <c r="BO8" s="546"/>
      <c r="BP8" s="546"/>
      <c r="BQ8" s="546"/>
      <c r="BR8" s="546"/>
      <c r="BS8" s="546"/>
      <c r="BT8" s="546"/>
      <c r="BU8" s="546"/>
      <c r="BV8" s="546"/>
      <c r="BW8" s="546"/>
      <c r="BX8" s="546"/>
      <c r="BY8" s="546"/>
      <c r="BZ8" s="546"/>
      <c r="CA8" s="546"/>
      <c r="CB8" s="546"/>
      <c r="CC8" s="546"/>
      <c r="CD8" s="546"/>
      <c r="CE8" s="546"/>
      <c r="CF8" s="546"/>
      <c r="CG8" s="546"/>
      <c r="CH8" s="546"/>
      <c r="CI8" s="546"/>
      <c r="CJ8" s="546"/>
      <c r="CK8" s="546"/>
      <c r="CL8" s="546"/>
      <c r="CM8" s="546"/>
      <c r="CN8" s="546"/>
      <c r="CO8" s="546"/>
      <c r="CP8" s="546"/>
      <c r="CQ8" s="546"/>
      <c r="CR8" s="546"/>
      <c r="CS8" s="546"/>
      <c r="CT8" s="546"/>
      <c r="CU8" s="546"/>
      <c r="CV8" s="546"/>
      <c r="CW8" s="546"/>
      <c r="CX8" s="546"/>
      <c r="CY8" s="546"/>
      <c r="CZ8" s="546"/>
      <c r="DA8" s="546"/>
      <c r="DB8" s="546"/>
      <c r="DC8" s="546"/>
      <c r="DD8" s="546"/>
      <c r="DE8" s="546"/>
      <c r="DF8" s="546"/>
      <c r="DG8" s="546"/>
      <c r="DH8" s="546"/>
      <c r="DI8" s="546"/>
      <c r="DJ8" s="546"/>
      <c r="DK8" s="546"/>
      <c r="DL8" s="546"/>
      <c r="DM8" s="546"/>
      <c r="DN8" s="546"/>
      <c r="DO8" s="546"/>
      <c r="DP8" s="546"/>
      <c r="DQ8" s="546"/>
      <c r="DR8" s="546"/>
      <c r="DS8" s="546"/>
      <c r="DT8" s="546"/>
      <c r="DU8" s="546"/>
      <c r="DV8" s="546"/>
      <c r="DW8" s="546"/>
      <c r="DX8" s="546"/>
      <c r="DY8" s="546"/>
      <c r="DZ8" s="546"/>
      <c r="EA8" s="546"/>
      <c r="EB8" s="546"/>
      <c r="EC8" s="546"/>
      <c r="ED8" s="546"/>
      <c r="EE8" s="546"/>
      <c r="EF8" s="546"/>
      <c r="EG8" s="546"/>
      <c r="EH8" s="546"/>
      <c r="EI8" s="546"/>
      <c r="EJ8" s="546"/>
      <c r="EK8" s="546"/>
      <c r="EL8" s="546"/>
      <c r="EM8" s="546"/>
      <c r="EN8" s="546"/>
      <c r="EO8" s="546"/>
      <c r="EP8" s="546"/>
      <c r="EQ8" s="546"/>
      <c r="ER8" s="546"/>
      <c r="ES8" s="546"/>
      <c r="ET8" s="546"/>
      <c r="EU8" s="546"/>
      <c r="EV8" s="546"/>
      <c r="EW8" s="546"/>
      <c r="EX8" s="546"/>
      <c r="EY8" s="546"/>
      <c r="EZ8" s="546"/>
      <c r="FA8" s="546"/>
      <c r="FB8" s="546"/>
      <c r="FC8" s="546"/>
      <c r="FD8" s="546"/>
      <c r="FE8" s="546"/>
      <c r="FF8" s="546"/>
      <c r="FG8" s="546"/>
      <c r="FH8" s="546"/>
      <c r="FI8" s="546"/>
      <c r="FJ8" s="546"/>
      <c r="FK8" s="546"/>
      <c r="FL8" s="546"/>
      <c r="FM8" s="546"/>
      <c r="FN8" s="546"/>
      <c r="FO8" s="546"/>
      <c r="FP8" s="546"/>
      <c r="FQ8" s="546"/>
      <c r="FR8" s="546"/>
      <c r="FS8" s="546"/>
      <c r="FT8" s="546"/>
      <c r="FU8" s="546"/>
      <c r="FV8" s="546"/>
      <c r="FW8" s="546"/>
      <c r="FX8" s="546"/>
      <c r="FY8" s="546"/>
      <c r="FZ8" s="546"/>
      <c r="GA8" s="546"/>
      <c r="GB8" s="546"/>
      <c r="GC8" s="546"/>
      <c r="GD8" s="546"/>
      <c r="GE8" s="546"/>
      <c r="GF8" s="546"/>
      <c r="GG8" s="546"/>
      <c r="GH8" s="546"/>
      <c r="GI8" s="546"/>
      <c r="GJ8" s="546"/>
      <c r="GK8" s="546"/>
      <c r="GL8" s="546"/>
      <c r="GM8" s="546"/>
      <c r="GN8" s="546"/>
      <c r="GO8" s="546"/>
      <c r="GP8" s="546"/>
      <c r="GQ8" s="546"/>
      <c r="GR8" s="546"/>
      <c r="GS8" s="546"/>
      <c r="GT8" s="546"/>
      <c r="GU8" s="546"/>
      <c r="GV8" s="546"/>
      <c r="GW8" s="546"/>
      <c r="GX8" s="546"/>
      <c r="GY8" s="546"/>
      <c r="GZ8" s="546"/>
      <c r="HA8" s="546"/>
      <c r="HB8" s="546"/>
      <c r="HC8" s="546"/>
      <c r="HD8" s="546"/>
      <c r="HE8" s="546"/>
      <c r="HF8" s="546"/>
      <c r="HG8" s="546"/>
      <c r="HH8" s="546"/>
      <c r="HI8" s="546"/>
      <c r="HJ8" s="546"/>
      <c r="HK8" s="546"/>
      <c r="HL8" s="546"/>
      <c r="HM8" s="546"/>
      <c r="HN8" s="546"/>
      <c r="HO8" s="546"/>
      <c r="HP8" s="546"/>
      <c r="HQ8" s="546"/>
      <c r="HR8" s="546"/>
      <c r="HS8" s="546"/>
      <c r="HT8" s="546"/>
      <c r="HU8" s="546"/>
      <c r="HV8" s="546"/>
      <c r="HW8" s="546"/>
      <c r="HX8" s="546"/>
      <c r="HY8" s="546"/>
      <c r="HZ8" s="546"/>
      <c r="IA8" s="546"/>
      <c r="IB8" s="546"/>
      <c r="IC8" s="546"/>
      <c r="ID8" s="546"/>
      <c r="IE8" s="546"/>
      <c r="IF8" s="546"/>
      <c r="IG8" s="546"/>
      <c r="IH8" s="546"/>
      <c r="II8" s="546"/>
      <c r="IJ8" s="546"/>
      <c r="IK8" s="546"/>
      <c r="IL8" s="546"/>
      <c r="IM8" s="546"/>
      <c r="IN8" s="546"/>
      <c r="IO8" s="546"/>
      <c r="IP8" s="546"/>
      <c r="IQ8" s="546"/>
      <c r="IR8" s="546"/>
      <c r="IS8" s="546"/>
      <c r="IT8" s="546"/>
      <c r="IU8" s="546"/>
      <c r="IV8" s="546"/>
    </row>
    <row r="9" s="763" customFormat="1" customHeight="1" spans="1:256">
      <c r="A9" s="782"/>
      <c r="B9" s="783" t="s">
        <v>69</v>
      </c>
      <c r="C9" s="784"/>
      <c r="D9" s="794">
        <f>IF(ISERROR(MATCH(ZonaTerritoriale,ElencoZone,0))=TRUE,0,INDEX(MatriceParametri,MATCH(ZonaTerritoriale,ElencoZone,0),5))</f>
        <v>55.6</v>
      </c>
      <c r="E9" s="786"/>
      <c r="F9" s="792">
        <f>PRODUCT(D8,D9)</f>
        <v>0</v>
      </c>
      <c r="G9" s="788"/>
      <c r="H9" s="794">
        <f>IF(ISERROR(MATCH(ZonaTerritoriale,ElencoZone,0))=TRUE,0,INDEX(MatriceParametri,MATCH(ZonaTerritoriale,ElencoZone,0),6))</f>
        <v>32.75</v>
      </c>
      <c r="I9" s="786"/>
      <c r="J9" s="792">
        <f>PRODUCT(H8,H9)</f>
        <v>0</v>
      </c>
      <c r="K9" s="818"/>
      <c r="L9" s="819">
        <f>ROUND(SUM(F9,J9),2)</f>
        <v>0</v>
      </c>
      <c r="M9" s="820"/>
      <c r="N9" s="823"/>
      <c r="O9" s="603"/>
      <c r="P9" s="603"/>
      <c r="Q9" s="603"/>
      <c r="R9" s="603"/>
      <c r="S9" s="603"/>
      <c r="T9" s="603"/>
      <c r="U9" s="603"/>
      <c r="V9" s="603"/>
      <c r="W9" s="603"/>
      <c r="X9" s="603"/>
      <c r="Y9" s="603"/>
      <c r="Z9" s="603"/>
      <c r="AA9" s="603"/>
      <c r="AB9" s="603"/>
      <c r="AC9" s="603"/>
      <c r="AD9" s="603"/>
      <c r="AE9" s="603"/>
      <c r="AF9" s="603"/>
      <c r="AG9" s="603"/>
      <c r="AH9" s="603"/>
      <c r="AI9" s="603"/>
      <c r="AJ9" s="603"/>
      <c r="AK9" s="603"/>
      <c r="AL9" s="603"/>
      <c r="AM9" s="603"/>
      <c r="AN9" s="603"/>
      <c r="AO9" s="603"/>
      <c r="AP9" s="603"/>
      <c r="AQ9" s="603"/>
      <c r="AR9" s="603"/>
      <c r="AS9" s="603"/>
      <c r="AT9" s="603"/>
      <c r="AU9" s="603"/>
      <c r="AV9" s="603"/>
      <c r="AW9" s="603"/>
      <c r="AX9" s="603"/>
      <c r="AY9" s="603"/>
      <c r="AZ9" s="603"/>
      <c r="BA9" s="603"/>
      <c r="BB9" s="603"/>
      <c r="BC9" s="603"/>
      <c r="BD9" s="603"/>
      <c r="BE9" s="603"/>
      <c r="BF9" s="603"/>
      <c r="BG9" s="603"/>
      <c r="BH9" s="603"/>
      <c r="BI9" s="603"/>
      <c r="BJ9" s="603"/>
      <c r="BK9" s="603"/>
      <c r="BL9" s="603"/>
      <c r="BM9" s="603"/>
      <c r="BN9" s="603"/>
      <c r="BO9" s="603"/>
      <c r="BP9" s="603"/>
      <c r="BQ9" s="603"/>
      <c r="BR9" s="603"/>
      <c r="BS9" s="603"/>
      <c r="BT9" s="603"/>
      <c r="BU9" s="603"/>
      <c r="BV9" s="603"/>
      <c r="BW9" s="603"/>
      <c r="BX9" s="603"/>
      <c r="BY9" s="603"/>
      <c r="BZ9" s="603"/>
      <c r="CA9" s="603"/>
      <c r="CB9" s="603"/>
      <c r="CC9" s="603"/>
      <c r="CD9" s="603"/>
      <c r="CE9" s="603"/>
      <c r="CF9" s="603"/>
      <c r="CG9" s="603"/>
      <c r="CH9" s="603"/>
      <c r="CI9" s="603"/>
      <c r="CJ9" s="603"/>
      <c r="CK9" s="603"/>
      <c r="CL9" s="603"/>
      <c r="CM9" s="603"/>
      <c r="CN9" s="603"/>
      <c r="CO9" s="603"/>
      <c r="CP9" s="603"/>
      <c r="CQ9" s="603"/>
      <c r="CR9" s="603"/>
      <c r="CS9" s="603"/>
      <c r="CT9" s="603"/>
      <c r="CU9" s="603"/>
      <c r="CV9" s="603"/>
      <c r="CW9" s="603"/>
      <c r="CX9" s="603"/>
      <c r="CY9" s="603"/>
      <c r="CZ9" s="603"/>
      <c r="DA9" s="603"/>
      <c r="DB9" s="603"/>
      <c r="DC9" s="603"/>
      <c r="DD9" s="603"/>
      <c r="DE9" s="603"/>
      <c r="DF9" s="603"/>
      <c r="DG9" s="603"/>
      <c r="DH9" s="603"/>
      <c r="DI9" s="603"/>
      <c r="DJ9" s="603"/>
      <c r="DK9" s="603"/>
      <c r="DL9" s="603"/>
      <c r="DM9" s="603"/>
      <c r="DN9" s="603"/>
      <c r="DO9" s="603"/>
      <c r="DP9" s="603"/>
      <c r="DQ9" s="603"/>
      <c r="DR9" s="603"/>
      <c r="DS9" s="603"/>
      <c r="DT9" s="603"/>
      <c r="DU9" s="603"/>
      <c r="DV9" s="603"/>
      <c r="DW9" s="603"/>
      <c r="DX9" s="603"/>
      <c r="DY9" s="603"/>
      <c r="DZ9" s="603"/>
      <c r="EA9" s="603"/>
      <c r="EB9" s="603"/>
      <c r="EC9" s="603"/>
      <c r="ED9" s="603"/>
      <c r="EE9" s="603"/>
      <c r="EF9" s="603"/>
      <c r="EG9" s="603"/>
      <c r="EH9" s="603"/>
      <c r="EI9" s="603"/>
      <c r="EJ9" s="603"/>
      <c r="EK9" s="603"/>
      <c r="EL9" s="603"/>
      <c r="EM9" s="603"/>
      <c r="EN9" s="603"/>
      <c r="EO9" s="603"/>
      <c r="EP9" s="603"/>
      <c r="EQ9" s="603"/>
      <c r="ER9" s="603"/>
      <c r="ES9" s="603"/>
      <c r="ET9" s="603"/>
      <c r="EU9" s="603"/>
      <c r="EV9" s="603"/>
      <c r="EW9" s="603"/>
      <c r="EX9" s="603"/>
      <c r="EY9" s="603"/>
      <c r="EZ9" s="603"/>
      <c r="FA9" s="603"/>
      <c r="FB9" s="603"/>
      <c r="FC9" s="603"/>
      <c r="FD9" s="603"/>
      <c r="FE9" s="603"/>
      <c r="FF9" s="603"/>
      <c r="FG9" s="603"/>
      <c r="FH9" s="603"/>
      <c r="FI9" s="603"/>
      <c r="FJ9" s="603"/>
      <c r="FK9" s="603"/>
      <c r="FL9" s="603"/>
      <c r="FM9" s="603"/>
      <c r="FN9" s="603"/>
      <c r="FO9" s="603"/>
      <c r="FP9" s="603"/>
      <c r="FQ9" s="603"/>
      <c r="FR9" s="603"/>
      <c r="FS9" s="603"/>
      <c r="FT9" s="603"/>
      <c r="FU9" s="603"/>
      <c r="FV9" s="603"/>
      <c r="FW9" s="603"/>
      <c r="FX9" s="603"/>
      <c r="FY9" s="603"/>
      <c r="FZ9" s="603"/>
      <c r="GA9" s="603"/>
      <c r="GB9" s="603"/>
      <c r="GC9" s="603"/>
      <c r="GD9" s="603"/>
      <c r="GE9" s="603"/>
      <c r="GF9" s="603"/>
      <c r="GG9" s="603"/>
      <c r="GH9" s="603"/>
      <c r="GI9" s="603"/>
      <c r="GJ9" s="603"/>
      <c r="GK9" s="603"/>
      <c r="GL9" s="603"/>
      <c r="GM9" s="603"/>
      <c r="GN9" s="603"/>
      <c r="GO9" s="603"/>
      <c r="GP9" s="603"/>
      <c r="GQ9" s="603"/>
      <c r="GR9" s="603"/>
      <c r="GS9" s="603"/>
      <c r="GT9" s="603"/>
      <c r="GU9" s="603"/>
      <c r="GV9" s="603"/>
      <c r="GW9" s="603"/>
      <c r="GX9" s="603"/>
      <c r="GY9" s="603"/>
      <c r="GZ9" s="603"/>
      <c r="HA9" s="603"/>
      <c r="HB9" s="603"/>
      <c r="HC9" s="603"/>
      <c r="HD9" s="603"/>
      <c r="HE9" s="603"/>
      <c r="HF9" s="603"/>
      <c r="HG9" s="603"/>
      <c r="HH9" s="603"/>
      <c r="HI9" s="603"/>
      <c r="HJ9" s="603"/>
      <c r="HK9" s="603"/>
      <c r="HL9" s="603"/>
      <c r="HM9" s="603"/>
      <c r="HN9" s="603"/>
      <c r="HO9" s="603"/>
      <c r="HP9" s="603"/>
      <c r="HQ9" s="603"/>
      <c r="HR9" s="603"/>
      <c r="HS9" s="603"/>
      <c r="HT9" s="603"/>
      <c r="HU9" s="603"/>
      <c r="HV9" s="603"/>
      <c r="HW9" s="603"/>
      <c r="HX9" s="603"/>
      <c r="HY9" s="603"/>
      <c r="HZ9" s="603"/>
      <c r="IA9" s="603"/>
      <c r="IB9" s="603"/>
      <c r="IC9" s="603"/>
      <c r="ID9" s="603"/>
      <c r="IE9" s="603"/>
      <c r="IF9" s="603"/>
      <c r="IG9" s="603"/>
      <c r="IH9" s="603"/>
      <c r="II9" s="603"/>
      <c r="IJ9" s="603"/>
      <c r="IK9" s="603"/>
      <c r="IL9" s="603"/>
      <c r="IM9" s="603"/>
      <c r="IN9" s="603"/>
      <c r="IO9" s="603"/>
      <c r="IP9" s="603"/>
      <c r="IQ9" s="603"/>
      <c r="IR9" s="603"/>
      <c r="IS9" s="603"/>
      <c r="IT9" s="603"/>
      <c r="IU9" s="603"/>
      <c r="IV9" s="603"/>
    </row>
    <row r="10" s="763" customFormat="1" customHeight="1" spans="1:15">
      <c r="A10" s="782"/>
      <c r="B10" s="789" t="s">
        <v>70</v>
      </c>
      <c r="C10" s="790"/>
      <c r="D10" s="794">
        <f>IF(ISERROR(MATCH(ZonaTerritoriale,ElencoZone,0))=TRUE,0,INDEX(MatriceParametri,MATCH(ZonaTerritoriale,ElencoZone,0)+1,5))</f>
        <v>23.7</v>
      </c>
      <c r="E10" s="786"/>
      <c r="F10" s="792">
        <f>PRODUCT(D8,D10)</f>
        <v>0</v>
      </c>
      <c r="G10" s="793"/>
      <c r="H10" s="794">
        <f>IF(ISERROR(MATCH(ZonaTerritoriale,ElencoZone,0))=TRUE,0,INDEX(MatriceParametri,MATCH(ZonaTerritoriale,ElencoZone,0)+1,6))</f>
        <v>15.55</v>
      </c>
      <c r="I10" s="786"/>
      <c r="J10" s="792">
        <f>PRODUCT(H8,H10)</f>
        <v>0</v>
      </c>
      <c r="K10" s="822"/>
      <c r="L10" s="819">
        <f>ROUND(SUM(F10,J10),2)</f>
        <v>0</v>
      </c>
      <c r="M10" s="820"/>
      <c r="N10" s="823"/>
      <c r="O10" s="603"/>
    </row>
    <row r="11" s="763" customFormat="1" customHeight="1" spans="1:15">
      <c r="A11" s="782"/>
      <c r="B11" s="789" t="s">
        <v>71</v>
      </c>
      <c r="C11" s="790"/>
      <c r="D11" s="794">
        <f>IF(ISERROR(MATCH(ZonaTerritoriale,ElencoZone,0))=TRUE,0,INDEX(MatriceParametri,MATCH(ZonaTerritoriale,ElencoZone,0)+2,5))</f>
        <v>0</v>
      </c>
      <c r="E11" s="786"/>
      <c r="F11" s="792">
        <f>PRODUCT(D8,D11)</f>
        <v>0</v>
      </c>
      <c r="G11" s="793"/>
      <c r="H11" s="794">
        <f>IF(ISERROR(MATCH(ZonaTerritoriale,ElencoZone,0))=TRUE,0,INDEX(MatriceParametri,MATCH(ZonaTerritoriale,ElencoZone,0)+2,6))</f>
        <v>0</v>
      </c>
      <c r="I11" s="786"/>
      <c r="J11" s="792">
        <f>PRODUCT(H8,H11)</f>
        <v>0</v>
      </c>
      <c r="K11" s="822"/>
      <c r="L11" s="819">
        <f>ROUND(SUM(F11,J11),2)</f>
        <v>0</v>
      </c>
      <c r="M11" s="820"/>
      <c r="N11" s="823"/>
      <c r="O11" s="603"/>
    </row>
    <row r="12" s="762" customFormat="1" ht="20.1" customHeight="1" spans="1:15">
      <c r="A12" s="776"/>
      <c r="B12" s="777" t="str">
        <f>Parametri_DestUsoPersonalizzazione3</f>
        <v>Industria </v>
      </c>
      <c r="C12" s="778"/>
      <c r="D12" s="795">
        <f>Ou_Cost_IndArt_NuovaEdif</f>
        <v>0</v>
      </c>
      <c r="E12" s="795"/>
      <c r="F12" s="795"/>
      <c r="G12" s="781"/>
      <c r="H12" s="795">
        <f>Ou_Rist_IndArt</f>
        <v>0</v>
      </c>
      <c r="I12" s="795"/>
      <c r="J12" s="795"/>
      <c r="K12" s="824"/>
      <c r="L12" s="798"/>
      <c r="M12" s="798"/>
      <c r="N12" s="817"/>
      <c r="O12" s="546"/>
    </row>
    <row r="13" s="763" customFormat="1" customHeight="1" spans="1:15">
      <c r="A13" s="782"/>
      <c r="B13" s="783" t="s">
        <v>69</v>
      </c>
      <c r="C13" s="784"/>
      <c r="D13" s="794">
        <f>IF(ISERROR(MATCH(ZonaTerritoriale,ElencoZone,0))=TRUE,0,INDEX(MatriceParametri,MATCH(ZonaTerritoriale,ElencoZone,0),7))</f>
        <v>18.25</v>
      </c>
      <c r="E13" s="786"/>
      <c r="F13" s="792">
        <f>PRODUCT(D12,D13)</f>
        <v>0</v>
      </c>
      <c r="G13" s="788"/>
      <c r="H13" s="794">
        <f>IF(ISERROR(MATCH(ZonaTerritoriale,ElencoZone,0))=TRUE,0,INDEX(MatriceParametri,MATCH(ZonaTerritoriale,ElencoZone,0),8))</f>
        <v>12.15</v>
      </c>
      <c r="I13" s="786"/>
      <c r="J13" s="792">
        <f>PRODUCT(H12,H13)</f>
        <v>0</v>
      </c>
      <c r="K13" s="818"/>
      <c r="L13" s="819">
        <f>ROUND(SUM(F13,J13),2)</f>
        <v>0</v>
      </c>
      <c r="M13" s="820"/>
      <c r="N13" s="823"/>
      <c r="O13" s="603"/>
    </row>
    <row r="14" s="763" customFormat="1" customHeight="1" spans="1:15">
      <c r="A14" s="782"/>
      <c r="B14" s="789" t="s">
        <v>70</v>
      </c>
      <c r="C14" s="790"/>
      <c r="D14" s="794">
        <f>IF(ISERROR(MATCH(ZonaTerritoriale,ElencoZone,0))=TRUE,0,INDEX(MatriceParametri,MATCH(ZonaTerritoriale,ElencoZone,0)+1,7))</f>
        <v>10.5</v>
      </c>
      <c r="E14" s="786"/>
      <c r="F14" s="792">
        <f>PRODUCT(D12,D14)</f>
        <v>0</v>
      </c>
      <c r="G14" s="793"/>
      <c r="H14" s="794">
        <f>IF(ISERROR(MATCH(ZonaTerritoriale,ElencoZone,0))=TRUE,0,INDEX(MatriceParametri,MATCH(ZonaTerritoriale,ElencoZone,0)+1,8))</f>
        <v>5.55</v>
      </c>
      <c r="I14" s="786"/>
      <c r="J14" s="792">
        <f>PRODUCT(H12,H14)</f>
        <v>0</v>
      </c>
      <c r="K14" s="822"/>
      <c r="L14" s="819">
        <f>ROUND(SUM(F14,J14),2)</f>
        <v>0</v>
      </c>
      <c r="M14" s="820"/>
      <c r="N14" s="823"/>
      <c r="O14" s="603"/>
    </row>
    <row r="15" s="763" customFormat="1" customHeight="1" spans="1:15">
      <c r="A15" s="782"/>
      <c r="B15" s="789" t="s">
        <v>71</v>
      </c>
      <c r="C15" s="790"/>
      <c r="D15" s="794">
        <f>IF(ISERROR(MATCH(ZonaTerritoriale,ElencoZone,0))=TRUE,0,INDEX(MatriceParametri,MATCH(ZonaTerritoriale,ElencoZone,0)+2,7))</f>
        <v>5.5</v>
      </c>
      <c r="E15" s="786"/>
      <c r="F15" s="792">
        <f>PRODUCT(D12,D15)</f>
        <v>0</v>
      </c>
      <c r="G15" s="793"/>
      <c r="H15" s="794">
        <f>IF(ISERROR(MATCH(ZonaTerritoriale,ElencoZone,0))=TRUE,0,INDEX(MatriceParametri,MATCH(ZonaTerritoriale,ElencoZone,0)+2,8))</f>
        <v>3.85</v>
      </c>
      <c r="I15" s="786"/>
      <c r="J15" s="792">
        <f>PRODUCT(H12,H15)</f>
        <v>0</v>
      </c>
      <c r="K15" s="822"/>
      <c r="L15" s="819">
        <f>ROUND(SUM(F15,J15),2)</f>
        <v>0</v>
      </c>
      <c r="M15" s="820"/>
      <c r="N15" s="823"/>
      <c r="O15" s="603"/>
    </row>
    <row r="16" s="762" customFormat="1" ht="20.1" customHeight="1" spans="1:15">
      <c r="A16" s="776"/>
      <c r="B16" s="777" t="str">
        <f>Parametri_DestUsoPersonalizzazione4</f>
        <v>Industriale alberghiera </v>
      </c>
      <c r="C16" s="778"/>
      <c r="D16" s="795">
        <f>Ou_Cost_IndAlb_NuovaEdif</f>
        <v>0</v>
      </c>
      <c r="E16" s="795"/>
      <c r="F16" s="795"/>
      <c r="G16" s="781"/>
      <c r="H16" s="795">
        <f>Ou_Rist_IndAlb</f>
        <v>0</v>
      </c>
      <c r="I16" s="795"/>
      <c r="J16" s="795"/>
      <c r="K16" s="824"/>
      <c r="L16" s="798"/>
      <c r="M16" s="798"/>
      <c r="N16" s="817"/>
      <c r="O16" s="546"/>
    </row>
    <row r="17" s="763" customFormat="1" customHeight="1" spans="1:15">
      <c r="A17" s="782"/>
      <c r="B17" s="783" t="s">
        <v>69</v>
      </c>
      <c r="C17" s="784"/>
      <c r="D17" s="794">
        <f>IF(ISERROR(MATCH(ZonaTerritoriale,ElencoZone,0))=TRUE,0,INDEX(MatriceParametri,MATCH(ZonaTerritoriale,ElencoZone,0),9))</f>
        <v>30.85</v>
      </c>
      <c r="E17" s="786"/>
      <c r="F17" s="792">
        <f>PRODUCT(D16,D17)</f>
        <v>0</v>
      </c>
      <c r="G17" s="788"/>
      <c r="H17" s="794">
        <f>IF(ISERROR(MATCH(ZonaTerritoriale,ElencoZone,0))=TRUE,0,INDEX(MatriceParametri,MATCH(ZonaTerritoriale,ElencoZone,0),10))</f>
        <v>16.3</v>
      </c>
      <c r="I17" s="786"/>
      <c r="J17" s="792">
        <f>PRODUCT(H16,H17)</f>
        <v>0</v>
      </c>
      <c r="K17" s="818"/>
      <c r="L17" s="819">
        <f>ROUND(SUM(F17,J17),2)</f>
        <v>0</v>
      </c>
      <c r="M17" s="820"/>
      <c r="N17" s="823"/>
      <c r="O17" s="603"/>
    </row>
    <row r="18" s="763" customFormat="1" customHeight="1" spans="1:15">
      <c r="A18" s="782"/>
      <c r="B18" s="789" t="s">
        <v>70</v>
      </c>
      <c r="C18" s="790"/>
      <c r="D18" s="794">
        <f>IF(ISERROR(MATCH(ZonaTerritoriale,ElencoZone,0))=TRUE,0,INDEX(MatriceParametri,MATCH(ZonaTerritoriale,ElencoZone,0)+1,9))</f>
        <v>19.5</v>
      </c>
      <c r="E18" s="786"/>
      <c r="F18" s="792">
        <f>PRODUCT(D16,D18)</f>
        <v>0</v>
      </c>
      <c r="G18" s="793"/>
      <c r="H18" s="794">
        <f>IF(ISERROR(MATCH(ZonaTerritoriale,ElencoZone,0))=TRUE,0,INDEX(MatriceParametri,MATCH(ZonaTerritoriale,ElencoZone,0)+1,10))</f>
        <v>9.75</v>
      </c>
      <c r="I18" s="786"/>
      <c r="J18" s="792">
        <f>PRODUCT(H16,H18)</f>
        <v>0</v>
      </c>
      <c r="K18" s="822"/>
      <c r="L18" s="819">
        <f>ROUND(SUM(F18,J18),2)</f>
        <v>0</v>
      </c>
      <c r="M18" s="820"/>
      <c r="N18" s="823"/>
      <c r="O18" s="603"/>
    </row>
    <row r="19" s="763" customFormat="1" customHeight="1" spans="1:15">
      <c r="A19" s="782"/>
      <c r="B19" s="789" t="s">
        <v>71</v>
      </c>
      <c r="C19" s="790"/>
      <c r="D19" s="794">
        <f>IF(ISERROR(MATCH(ZonaTerritoriale,ElencoZone,0))=TRUE,0,INDEX(MatriceParametri,MATCH(ZonaTerritoriale,ElencoZone,0)+2,9))</f>
        <v>0</v>
      </c>
      <c r="E19" s="786"/>
      <c r="F19" s="792">
        <f>PRODUCT(D16,D19)</f>
        <v>0</v>
      </c>
      <c r="G19" s="793"/>
      <c r="H19" s="794">
        <f>IF(ISERROR(MATCH(ZonaTerritoriale,ElencoZone,0))=TRUE,0,INDEX(MatriceParametri,MATCH(ZonaTerritoriale,ElencoZone,0)+2,10))</f>
        <v>0</v>
      </c>
      <c r="I19" s="786"/>
      <c r="J19" s="792">
        <f>PRODUCT(H16,H19)</f>
        <v>0</v>
      </c>
      <c r="K19" s="822"/>
      <c r="L19" s="819">
        <f>ROUND(SUM(F19,J19),2)</f>
        <v>0</v>
      </c>
      <c r="M19" s="820"/>
      <c r="N19" s="823"/>
      <c r="O19" s="603"/>
    </row>
    <row r="20" s="762" customFormat="1" ht="20.1" customHeight="1" spans="1:15">
      <c r="A20" s="776"/>
      <c r="B20" s="796" t="str">
        <f>Parametri_DestUsoPersonalizzazione5</f>
        <v>Parcheggi, silos (posto auto)</v>
      </c>
      <c r="C20" s="797"/>
      <c r="D20" s="795">
        <f>Ou_Cost_Parc_NuovaEdif</f>
        <v>0</v>
      </c>
      <c r="E20" s="795"/>
      <c r="F20" s="795"/>
      <c r="G20" s="798"/>
      <c r="H20" s="795">
        <f>Ou_Rist_ParSil</f>
        <v>0</v>
      </c>
      <c r="I20" s="795"/>
      <c r="J20" s="795"/>
      <c r="K20" s="824"/>
      <c r="L20" s="798"/>
      <c r="M20" s="798"/>
      <c r="N20" s="817"/>
      <c r="O20" s="546"/>
    </row>
    <row r="21" s="764" customFormat="1" customHeight="1" spans="1:15">
      <c r="A21" s="782"/>
      <c r="B21" s="783" t="s">
        <v>69</v>
      </c>
      <c r="C21" s="784"/>
      <c r="D21" s="785">
        <f>IF(ISERROR(MATCH(ZonaTerritoriale,ElencoZone,0))=TRUE,0,INDEX(MatriceParametri,MATCH(ZonaTerritoriale,ElencoZone,0),11))</f>
        <v>222.75</v>
      </c>
      <c r="E21" s="786"/>
      <c r="F21" s="792">
        <f>PRODUCT(D20,D21)</f>
        <v>0</v>
      </c>
      <c r="G21" s="788"/>
      <c r="H21" s="794">
        <f>IF(ISERROR(MATCH(ZonaTerritoriale,ElencoZone,0))=TRUE,0,INDEX(MatriceParametri,MATCH(ZonaTerritoriale,ElencoZone,0),12))</f>
        <v>111.7</v>
      </c>
      <c r="I21" s="786"/>
      <c r="J21" s="792">
        <f>PRODUCT(H20,H21)</f>
        <v>0</v>
      </c>
      <c r="K21" s="818"/>
      <c r="L21" s="819">
        <f>ROUND(SUM(F21,J21),2)</f>
        <v>0</v>
      </c>
      <c r="M21" s="820"/>
      <c r="N21" s="823"/>
      <c r="O21" s="28"/>
    </row>
    <row r="22" s="764" customFormat="1" customHeight="1" spans="1:15">
      <c r="A22" s="782"/>
      <c r="B22" s="789" t="s">
        <v>70</v>
      </c>
      <c r="C22" s="790"/>
      <c r="D22" s="791">
        <f>IF(ISERROR(MATCH(ZonaTerritoriale,ElencoZone,0))=TRUE,0,INDEX(MatriceParametri,MATCH(ZonaTerritoriale,ElencoZone,0)+1,11))</f>
        <v>101.05</v>
      </c>
      <c r="E22" s="786"/>
      <c r="F22" s="792">
        <f>PRODUCT(D20,D22)</f>
        <v>0</v>
      </c>
      <c r="G22" s="793"/>
      <c r="H22" s="794">
        <f>IF(ISERROR(MATCH(ZonaTerritoriale,ElencoZone,0))=TRUE,0,INDEX(MatriceParametri,MATCH(ZonaTerritoriale,ElencoZone,0)+1,12))</f>
        <v>47.05</v>
      </c>
      <c r="I22" s="786"/>
      <c r="J22" s="792">
        <f>PRODUCT(H20,H22)</f>
        <v>0</v>
      </c>
      <c r="K22" s="822"/>
      <c r="L22" s="819">
        <f>ROUND(SUM(F22,J22),2)</f>
        <v>0</v>
      </c>
      <c r="M22" s="820"/>
      <c r="N22" s="823"/>
      <c r="O22" s="28"/>
    </row>
    <row r="23" s="763" customFormat="1" customHeight="1" spans="1:15">
      <c r="A23" s="782"/>
      <c r="B23" s="789" t="s">
        <v>71</v>
      </c>
      <c r="C23" s="790"/>
      <c r="D23" s="794">
        <f>IF(ISERROR(MATCH(ZonaTerritoriale,ElencoZone,0))=TRUE,0,INDEX(MatriceParametri,MATCH(ZonaTerritoriale,ElencoZone,0)+2,11))</f>
        <v>0</v>
      </c>
      <c r="E23" s="786"/>
      <c r="F23" s="792">
        <f>PRODUCT(D20,D23)</f>
        <v>0</v>
      </c>
      <c r="G23" s="793"/>
      <c r="H23" s="794">
        <f>IF(ISERROR(MATCH(ZonaTerritoriale,ElencoZone,0))=TRUE,0,INDEX(MatriceParametri,MATCH(ZonaTerritoriale,ElencoZone,0)+2,12))</f>
        <v>0</v>
      </c>
      <c r="I23" s="786"/>
      <c r="J23" s="792">
        <f>PRODUCT(H20,H23)</f>
        <v>0</v>
      </c>
      <c r="K23" s="822"/>
      <c r="L23" s="819">
        <f>ROUND(SUM(F23,J23),2)</f>
        <v>0</v>
      </c>
      <c r="M23" s="820"/>
      <c r="N23" s="823"/>
      <c r="O23" s="603"/>
    </row>
    <row r="24" s="762" customFormat="1" ht="20.1" customHeight="1" spans="1:15">
      <c r="A24" s="776"/>
      <c r="B24" s="799" t="str">
        <f>Parametri_DestUsoPersonalizzazione6</f>
        <v>Attrezzature culturali e sanitarie</v>
      </c>
      <c r="C24" s="800"/>
      <c r="D24" s="795">
        <f>Ou_Cost_AttCulSan_NuovaEdif</f>
        <v>0</v>
      </c>
      <c r="E24" s="795"/>
      <c r="F24" s="795"/>
      <c r="G24" s="798"/>
      <c r="H24" s="795">
        <f>Ou_Rist_CultSan</f>
        <v>0</v>
      </c>
      <c r="I24" s="795"/>
      <c r="J24" s="795"/>
      <c r="K24" s="824"/>
      <c r="L24" s="798"/>
      <c r="M24" s="798"/>
      <c r="N24" s="817"/>
      <c r="O24" s="546"/>
    </row>
    <row r="25" s="764" customFormat="1" customHeight="1" spans="1:15">
      <c r="A25" s="782"/>
      <c r="B25" s="783" t="s">
        <v>69</v>
      </c>
      <c r="C25" s="784"/>
      <c r="D25" s="785">
        <f>IF(ISERROR(MATCH(ZonaTerritoriale,ElencoZone,0))=TRUE,0,INDEX(MatriceParametri,MATCH(ZonaTerritoriale,ElencoZone,0),13))</f>
        <v>11.2</v>
      </c>
      <c r="E25" s="786"/>
      <c r="F25" s="792">
        <f>PRODUCT(D24,D25)</f>
        <v>0</v>
      </c>
      <c r="G25" s="788"/>
      <c r="H25" s="794">
        <f>IF(ISERROR(MATCH(ZonaTerritoriale,ElencoZone,0))=TRUE,0,INDEX(MatriceParametri,MATCH(ZonaTerritoriale,ElencoZone,0),14))</f>
        <v>5.6</v>
      </c>
      <c r="I25" s="786"/>
      <c r="J25" s="792">
        <f>PRODUCT(H24,H25)</f>
        <v>0</v>
      </c>
      <c r="K25" s="818"/>
      <c r="L25" s="819">
        <f>ROUND(SUM(F25,J25),2)</f>
        <v>0</v>
      </c>
      <c r="M25" s="820"/>
      <c r="N25" s="823"/>
      <c r="O25" s="28"/>
    </row>
    <row r="26" s="764" customFormat="1" customHeight="1" spans="1:15">
      <c r="A26" s="782"/>
      <c r="B26" s="789" t="s">
        <v>70</v>
      </c>
      <c r="C26" s="790"/>
      <c r="D26" s="791">
        <f>IF(ISERROR(MATCH(ZonaTerritoriale,ElencoZone,0))=TRUE,0,INDEX(MatriceParametri,MATCH(ZonaTerritoriale,ElencoZone,0)+1,13))</f>
        <v>5.05</v>
      </c>
      <c r="E26" s="786"/>
      <c r="F26" s="792">
        <f>PRODUCT(D24,D26)</f>
        <v>0</v>
      </c>
      <c r="G26" s="793"/>
      <c r="H26" s="794">
        <f>IF(ISERROR(MATCH(ZonaTerritoriale,ElencoZone,0))=TRUE,0,INDEX(MatriceParametri,MATCH(ZonaTerritoriale,ElencoZone,0)+1,14))</f>
        <v>2.4</v>
      </c>
      <c r="I26" s="786"/>
      <c r="J26" s="792">
        <f>PRODUCT(H24,H26)</f>
        <v>0</v>
      </c>
      <c r="K26" s="822"/>
      <c r="L26" s="819">
        <f>ROUND(SUM(F26,J26),2)</f>
        <v>0</v>
      </c>
      <c r="M26" s="820"/>
      <c r="N26" s="823"/>
      <c r="O26" s="28"/>
    </row>
    <row r="27" s="763" customFormat="1" customHeight="1" spans="1:15">
      <c r="A27" s="782"/>
      <c r="B27" s="789" t="s">
        <v>71</v>
      </c>
      <c r="C27" s="790"/>
      <c r="D27" s="794">
        <f>IF(ISERROR(MATCH(ZonaTerritoriale,ElencoZone,0))=TRUE,0,INDEX(MatriceParametri,MATCH(ZonaTerritoriale,ElencoZone,0)+2,13))</f>
        <v>0</v>
      </c>
      <c r="E27" s="786"/>
      <c r="F27" s="792">
        <f>PRODUCT(D24,D27)</f>
        <v>0</v>
      </c>
      <c r="G27" s="793"/>
      <c r="H27" s="794">
        <f>IF(ISERROR(MATCH(ZonaTerritoriale,ElencoZone,0))=TRUE,0,INDEX(MatriceParametri,MATCH(ZonaTerritoriale,ElencoZone,0)+2,14))</f>
        <v>0</v>
      </c>
      <c r="I27" s="786"/>
      <c r="J27" s="792">
        <f>PRODUCT(H24,H27)</f>
        <v>0</v>
      </c>
      <c r="K27" s="822"/>
      <c r="L27" s="819">
        <f>ROUND(SUM(F27,J27),2)</f>
        <v>0</v>
      </c>
      <c r="M27" s="820"/>
      <c r="N27" s="823"/>
      <c r="O27" s="603"/>
    </row>
    <row r="28" s="762" customFormat="1" ht="20.1" customHeight="1" spans="1:15">
      <c r="A28" s="776"/>
      <c r="B28" s="796" t="str">
        <f>Parametri_DestUsoPersonalizzazione7</f>
        <v>Attrezzature sportive</v>
      </c>
      <c r="C28" s="797"/>
      <c r="D28" s="795">
        <f>Ou_Cost_AttSport_NuovaEdif</f>
        <v>0</v>
      </c>
      <c r="E28" s="795"/>
      <c r="F28" s="795"/>
      <c r="G28" s="798"/>
      <c r="H28" s="795">
        <f>Ou_Rist_AttSpor</f>
        <v>0</v>
      </c>
      <c r="I28" s="795"/>
      <c r="J28" s="795"/>
      <c r="K28" s="824"/>
      <c r="L28" s="798"/>
      <c r="M28" s="798"/>
      <c r="N28" s="817"/>
      <c r="O28" s="546"/>
    </row>
    <row r="29" s="764" customFormat="1" customHeight="1" spans="1:15">
      <c r="A29" s="782"/>
      <c r="B29" s="783" t="s">
        <v>69</v>
      </c>
      <c r="C29" s="784"/>
      <c r="D29" s="785">
        <f>IF(ISERROR(MATCH(ZonaTerritoriale,ElencoZone,0))=TRUE,0,INDEX(MatriceParametri,MATCH(ZonaTerritoriale,ElencoZone,0),15))</f>
        <v>5.65</v>
      </c>
      <c r="E29" s="786"/>
      <c r="F29" s="792">
        <f>PRODUCT(D28,D29)</f>
        <v>0</v>
      </c>
      <c r="G29" s="788"/>
      <c r="H29" s="794">
        <f>IF(ISERROR(MATCH(ZonaTerritoriale,ElencoZone,0))=TRUE,0,INDEX(MatriceParametri,MATCH(ZonaTerritoriale,ElencoZone,0),16))</f>
        <v>2.8</v>
      </c>
      <c r="I29" s="786"/>
      <c r="J29" s="792">
        <f>PRODUCT(H28,H29)</f>
        <v>0</v>
      </c>
      <c r="K29" s="818"/>
      <c r="L29" s="819">
        <f>ROUND(SUM(F29,J29),2)</f>
        <v>0</v>
      </c>
      <c r="M29" s="820"/>
      <c r="N29" s="823"/>
      <c r="O29" s="28"/>
    </row>
    <row r="30" s="764" customFormat="1" customHeight="1" spans="1:15">
      <c r="A30" s="782"/>
      <c r="B30" s="789" t="s">
        <v>70</v>
      </c>
      <c r="C30" s="790"/>
      <c r="D30" s="791">
        <f>IF(ISERROR(MATCH(ZonaTerritoriale,ElencoZone,0))=TRUE,0,INDEX(MatriceParametri,MATCH(ZonaTerritoriale,ElencoZone,0)+1,15))</f>
        <v>2.75</v>
      </c>
      <c r="E30" s="786"/>
      <c r="F30" s="792">
        <f>PRODUCT(D28,D30)</f>
        <v>0</v>
      </c>
      <c r="G30" s="793"/>
      <c r="H30" s="794">
        <f>IF(ISERROR(MATCH(ZonaTerritoriale,ElencoZone,0))=TRUE,0,INDEX(MatriceParametri,MATCH(ZonaTerritoriale,ElencoZone,0)+1,16))</f>
        <v>1.25</v>
      </c>
      <c r="I30" s="786"/>
      <c r="J30" s="792">
        <f>PRODUCT(H28,H30)</f>
        <v>0</v>
      </c>
      <c r="K30" s="822"/>
      <c r="L30" s="819">
        <f>ROUND(SUM(F30,J30),2)</f>
        <v>0</v>
      </c>
      <c r="M30" s="820"/>
      <c r="N30" s="823"/>
      <c r="O30" s="28"/>
    </row>
    <row r="31" s="763" customFormat="1" customHeight="1" spans="1:15">
      <c r="A31" s="782"/>
      <c r="B31" s="789" t="s">
        <v>71</v>
      </c>
      <c r="C31" s="790"/>
      <c r="D31" s="794">
        <f>IF(ISERROR(MATCH(ZonaTerritoriale,ElencoZone,0))=TRUE,0,INDEX(MatriceParametri,MATCH(ZonaTerritoriale,ElencoZone,0)+2,15))</f>
        <v>0</v>
      </c>
      <c r="E31" s="786"/>
      <c r="F31" s="792">
        <f>PRODUCT(D28,D31)</f>
        <v>0</v>
      </c>
      <c r="G31" s="793"/>
      <c r="H31" s="794">
        <f>IF(ISERROR(MATCH(ZonaTerritoriale,ElencoZone,0))=TRUE,0,INDEX(MatriceParametri,MATCH(ZonaTerritoriale,ElencoZone,0)+2,16))</f>
        <v>0</v>
      </c>
      <c r="I31" s="786"/>
      <c r="J31" s="792">
        <f>PRODUCT(H28,H31)</f>
        <v>0</v>
      </c>
      <c r="K31" s="822"/>
      <c r="L31" s="819">
        <f>ROUND(SUM(F31,J31),2)</f>
        <v>0</v>
      </c>
      <c r="M31" s="820"/>
      <c r="N31" s="823"/>
      <c r="O31" s="603"/>
    </row>
    <row r="32" s="762" customFormat="1" ht="20.1" customHeight="1" spans="1:15">
      <c r="A32" s="776"/>
      <c r="B32" s="796" t="str">
        <f>Parametri_DestUsoPersonalizzazione8</f>
        <v>Attrezzature spettacolo</v>
      </c>
      <c r="C32" s="797"/>
      <c r="D32" s="795">
        <f>Ou_Cost_AttSpett_NuovaEdif</f>
        <v>0</v>
      </c>
      <c r="E32" s="795"/>
      <c r="F32" s="795"/>
      <c r="G32" s="798"/>
      <c r="H32" s="795">
        <f>Ou_Rist_AttSpet</f>
        <v>0</v>
      </c>
      <c r="I32" s="795"/>
      <c r="J32" s="795"/>
      <c r="K32" s="824"/>
      <c r="L32" s="798"/>
      <c r="M32" s="798"/>
      <c r="N32" s="817"/>
      <c r="O32" s="546"/>
    </row>
    <row r="33" s="764" customFormat="1" customHeight="1" spans="1:15">
      <c r="A33" s="782"/>
      <c r="B33" s="783" t="s">
        <v>69</v>
      </c>
      <c r="C33" s="784"/>
      <c r="D33" s="785">
        <f>IF(ISERROR(MATCH(ZonaTerritoriale,ElencoZone,0))=TRUE,0,INDEX(MatriceParametri,MATCH(ZonaTerritoriale,ElencoZone,0),17))</f>
        <v>16.75</v>
      </c>
      <c r="E33" s="786"/>
      <c r="F33" s="792">
        <f>PRODUCT(D32,D33)</f>
        <v>0</v>
      </c>
      <c r="G33" s="788"/>
      <c r="H33" s="794">
        <f>IF(ISERROR(MATCH(ZonaTerritoriale,ElencoZone,0))=TRUE,0,INDEX(MatriceParametri,MATCH(ZonaTerritoriale,ElencoZone,0),18))</f>
        <v>8.35</v>
      </c>
      <c r="I33" s="786"/>
      <c r="J33" s="792">
        <f>PRODUCT(H32,H33)</f>
        <v>0</v>
      </c>
      <c r="K33" s="818"/>
      <c r="L33" s="819">
        <f>ROUND(SUM(F33,J33),2)</f>
        <v>0</v>
      </c>
      <c r="M33" s="820"/>
      <c r="N33" s="823"/>
      <c r="O33" s="28"/>
    </row>
    <row r="34" s="764" customFormat="1" customHeight="1" spans="1:15">
      <c r="A34" s="782"/>
      <c r="B34" s="789" t="s">
        <v>70</v>
      </c>
      <c r="C34" s="790"/>
      <c r="D34" s="791">
        <f>IF(ISERROR(MATCH(ZonaTerritoriale,ElencoZone,0))=TRUE,0,INDEX(MatriceParametri,MATCH(ZonaTerritoriale,ElencoZone,0)+1,17))</f>
        <v>7.8</v>
      </c>
      <c r="E34" s="786"/>
      <c r="F34" s="792">
        <f>PRODUCT(D32,D34)</f>
        <v>0</v>
      </c>
      <c r="G34" s="793"/>
      <c r="H34" s="794">
        <f>IF(ISERROR(MATCH(ZonaTerritoriale,ElencoZone,0))=TRUE,0,INDEX(MatriceParametri,MATCH(ZonaTerritoriale,ElencoZone,0)+1,18))</f>
        <v>3.55</v>
      </c>
      <c r="I34" s="786"/>
      <c r="J34" s="792">
        <f>PRODUCT(H32,H34)</f>
        <v>0</v>
      </c>
      <c r="K34" s="822"/>
      <c r="L34" s="819">
        <f>ROUND(SUM(F34,J34),2)</f>
        <v>0</v>
      </c>
      <c r="M34" s="820"/>
      <c r="N34" s="823"/>
      <c r="O34" s="28"/>
    </row>
    <row r="35" s="763" customFormat="1" customHeight="1" spans="1:15">
      <c r="A35" s="782"/>
      <c r="B35" s="789" t="s">
        <v>71</v>
      </c>
      <c r="C35" s="790"/>
      <c r="D35" s="794">
        <f>IF(ISERROR(MATCH(ZonaTerritoriale,ElencoZone,0))=TRUE,0,INDEX(MatriceParametri,MATCH(ZonaTerritoriale,ElencoZone,0)+2,17))</f>
        <v>0</v>
      </c>
      <c r="E35" s="786"/>
      <c r="F35" s="792">
        <f>PRODUCT(D32,D35)</f>
        <v>0</v>
      </c>
      <c r="G35" s="793"/>
      <c r="H35" s="794">
        <f>IF(ISERROR(MATCH(ZonaTerritoriale,ElencoZone,0))=TRUE,0,INDEX(MatriceParametri,MATCH(ZonaTerritoriale,ElencoZone,0)+2,18))</f>
        <v>0</v>
      </c>
      <c r="I35" s="786"/>
      <c r="J35" s="792">
        <f>PRODUCT(H32,H35)</f>
        <v>0</v>
      </c>
      <c r="K35" s="822"/>
      <c r="L35" s="819">
        <f>ROUND(SUM(F35,J35),2)</f>
        <v>0</v>
      </c>
      <c r="M35" s="820"/>
      <c r="N35" s="823"/>
      <c r="O35" s="603"/>
    </row>
    <row r="36" s="762" customFormat="1" ht="20.1" customHeight="1" spans="1:15">
      <c r="A36" s="776"/>
      <c r="B36" s="801" t="s">
        <v>7</v>
      </c>
      <c r="C36" s="800"/>
      <c r="D36" s="795">
        <f>Ou_NuovaEd_Sottotetti_ParReale</f>
        <v>0</v>
      </c>
      <c r="E36" s="795"/>
      <c r="F36" s="795"/>
      <c r="G36" s="798"/>
      <c r="H36" s="798"/>
      <c r="I36" s="798"/>
      <c r="J36" s="798"/>
      <c r="K36" s="798"/>
      <c r="L36" s="798"/>
      <c r="M36" s="798"/>
      <c r="N36" s="817"/>
      <c r="O36" s="546"/>
    </row>
    <row r="37" s="763" customFormat="1" customHeight="1" spans="1:15">
      <c r="A37" s="782"/>
      <c r="B37" s="802"/>
      <c r="C37" s="803" t="s">
        <v>69</v>
      </c>
      <c r="D37" s="785">
        <f>IF(ISERROR(MATCH(ZonaTerritoriale,ElencoZone,0))=TRUE,0,INDEX(MatriceParametri,MATCH(ZonaTerritoriale,ElencoZone,0),1))</f>
        <v>3.8</v>
      </c>
      <c r="E37" s="786"/>
      <c r="F37" s="792">
        <f>PRODUCT(D36,D37)</f>
        <v>0</v>
      </c>
      <c r="G37" s="804"/>
      <c r="H37" s="805"/>
      <c r="I37" s="805"/>
      <c r="J37" s="805"/>
      <c r="K37" s="825"/>
      <c r="L37" s="826">
        <f>F37</f>
        <v>0</v>
      </c>
      <c r="M37" s="826"/>
      <c r="N37" s="827">
        <f>F37*DescInt_RisparmioPercent</f>
        <v>0</v>
      </c>
      <c r="O37" s="603"/>
    </row>
    <row r="38" s="763" customFormat="1" customHeight="1" spans="1:15">
      <c r="A38" s="782"/>
      <c r="B38" s="806"/>
      <c r="C38" s="803" t="s">
        <v>70</v>
      </c>
      <c r="D38" s="791">
        <f>IF(ISERROR(MATCH(ZonaTerritoriale,ElencoZone,0))=TRUE,0,INDEX(MatriceParametri,MATCH(ZonaTerritoriale,ElencoZone,0)+1,1))</f>
        <v>11.4</v>
      </c>
      <c r="E38" s="786"/>
      <c r="F38" s="792">
        <f>PRODUCT(D36,D38)</f>
        <v>0</v>
      </c>
      <c r="G38" s="793"/>
      <c r="H38" s="793"/>
      <c r="I38" s="793"/>
      <c r="J38" s="793"/>
      <c r="K38" s="793"/>
      <c r="L38" s="826">
        <f>F38</f>
        <v>0</v>
      </c>
      <c r="M38" s="826"/>
      <c r="N38" s="827">
        <f>F38*DescInt_RisparmioPercent</f>
        <v>0</v>
      </c>
      <c r="O38" s="603"/>
    </row>
    <row r="39" s="763" customFormat="1" customHeight="1" spans="1:15">
      <c r="A39" s="782"/>
      <c r="B39" s="802"/>
      <c r="C39" s="803" t="s">
        <v>71</v>
      </c>
      <c r="D39" s="791">
        <f>IF(ISERROR(MATCH(ZonaTerritoriale,ElencoZone,0))=TRUE,0,INDEX(MatriceParametri,MATCH(ZonaTerritoriale,ElencoZone,0)+2,1))</f>
        <v>0</v>
      </c>
      <c r="E39" s="786"/>
      <c r="F39" s="792">
        <f>PRODUCT(D36,D39)</f>
        <v>0</v>
      </c>
      <c r="G39" s="793"/>
      <c r="H39" s="793"/>
      <c r="I39" s="793"/>
      <c r="J39" s="793"/>
      <c r="K39" s="793"/>
      <c r="L39" s="826">
        <f>SUM(F39,J39)</f>
        <v>0</v>
      </c>
      <c r="M39" s="826"/>
      <c r="N39" s="828">
        <f>ImportoOneriUrbRecSottPrimaria+ImportoOneriUrbRecSottSecondaria</f>
        <v>0</v>
      </c>
      <c r="O39" s="603"/>
    </row>
    <row r="40" s="762" customFormat="1" ht="20.1" customHeight="1" spans="1:15">
      <c r="A40" s="776"/>
      <c r="B40" s="796" t="str">
        <f>Parametri_DestUsoPersonalizzazione9</f>
        <v>Artigianato</v>
      </c>
      <c r="C40" s="797"/>
      <c r="D40" s="795">
        <f>Ou_Cost_Personalizzazione1_NuovaEdif</f>
        <v>0</v>
      </c>
      <c r="E40" s="795"/>
      <c r="F40" s="795"/>
      <c r="G40" s="798"/>
      <c r="H40" s="795">
        <f>Ou_Rist_Personalizzazione1</f>
        <v>0</v>
      </c>
      <c r="I40" s="795"/>
      <c r="J40" s="795"/>
      <c r="K40" s="824"/>
      <c r="L40" s="798"/>
      <c r="M40" s="798"/>
      <c r="N40" s="817"/>
      <c r="O40" s="546"/>
    </row>
    <row r="41" s="764" customFormat="1" customHeight="1" spans="1:15">
      <c r="A41" s="782"/>
      <c r="B41" s="783" t="s">
        <v>69</v>
      </c>
      <c r="C41" s="784"/>
      <c r="D41" s="785">
        <f>IF(ISERROR(MATCH(ZonaTerritoriale,ElencoZone,0))=TRUE,0,INDEX(MatriceParametri,MATCH(ZonaTerritoriale,ElencoZone,0),19))</f>
        <v>18.25</v>
      </c>
      <c r="E41" s="786"/>
      <c r="F41" s="792">
        <f>PRODUCT(D40,D41)</f>
        <v>0</v>
      </c>
      <c r="G41" s="788"/>
      <c r="H41" s="794">
        <f>IF(ISERROR(MATCH(ZonaTerritoriale,ElencoZone,0))=TRUE,0,INDEX(MatriceParametri,MATCH(ZonaTerritoriale,ElencoZone,0),20))</f>
        <v>12.15</v>
      </c>
      <c r="I41" s="786"/>
      <c r="J41" s="792">
        <f>PRODUCT(H40,H41)</f>
        <v>0</v>
      </c>
      <c r="K41" s="818"/>
      <c r="L41" s="826">
        <f>ROUND(SUM(F41,J41),2)</f>
        <v>0</v>
      </c>
      <c r="M41" s="826"/>
      <c r="N41" s="823"/>
      <c r="O41" s="28"/>
    </row>
    <row r="42" s="764" customFormat="1" customHeight="1" spans="1:15">
      <c r="A42" s="782"/>
      <c r="B42" s="789" t="s">
        <v>70</v>
      </c>
      <c r="C42" s="790"/>
      <c r="D42" s="791">
        <f>IF(ISERROR(MATCH(ZonaTerritoriale,ElencoZone,0))=TRUE,0,INDEX(MatriceParametri,MATCH(ZonaTerritoriale,ElencoZone,0)+1,19))</f>
        <v>10.5</v>
      </c>
      <c r="E42" s="786"/>
      <c r="F42" s="792">
        <f>PRODUCT(D40,D42)</f>
        <v>0</v>
      </c>
      <c r="G42" s="793"/>
      <c r="H42" s="794">
        <f>IF(ISERROR(MATCH(ZonaTerritoriale,ElencoZone,0))=TRUE,0,INDEX(MatriceParametri,MATCH(ZonaTerritoriale,ElencoZone,0)+1,20))</f>
        <v>5.55</v>
      </c>
      <c r="I42" s="786"/>
      <c r="J42" s="792">
        <f>PRODUCT(H40,H42)</f>
        <v>0</v>
      </c>
      <c r="K42" s="822"/>
      <c r="L42" s="826">
        <f>ROUND(SUM(F42,J42),2)</f>
        <v>0</v>
      </c>
      <c r="M42" s="826"/>
      <c r="N42" s="823"/>
      <c r="O42" s="28"/>
    </row>
    <row r="43" s="763" customFormat="1" customHeight="1" spans="1:15">
      <c r="A43" s="782"/>
      <c r="B43" s="789" t="s">
        <v>71</v>
      </c>
      <c r="C43" s="790"/>
      <c r="D43" s="794">
        <f>IF(ISERROR(MATCH(ZonaTerritoriale,ElencoZone,0))=TRUE,0,INDEX(MatriceParametri,MATCH(ZonaTerritoriale,ElencoZone,0)+2,19))</f>
        <v>5.5</v>
      </c>
      <c r="E43" s="786"/>
      <c r="F43" s="792">
        <f>PRODUCT(D40,D43)</f>
        <v>0</v>
      </c>
      <c r="G43" s="793"/>
      <c r="H43" s="794">
        <f>IF(ISERROR(MATCH(ZonaTerritoriale,ElencoZone,0))=TRUE,0,INDEX(MatriceParametri,MATCH(ZonaTerritoriale,ElencoZone,0)+2,20))</f>
        <v>2.8</v>
      </c>
      <c r="I43" s="786"/>
      <c r="J43" s="792">
        <f>PRODUCT(H40,H43)</f>
        <v>0</v>
      </c>
      <c r="K43" s="822"/>
      <c r="L43" s="826">
        <f>ROUND(SUM(F43,J43),2)</f>
        <v>0</v>
      </c>
      <c r="M43" s="826"/>
      <c r="N43" s="823"/>
      <c r="O43" s="603"/>
    </row>
    <row r="44" s="762" customFormat="1" ht="20.1" customHeight="1" spans="1:15">
      <c r="A44" s="776"/>
      <c r="B44" s="796" t="str">
        <f>Parametri_DestUsoPersonalizzazione10</f>
        <v>Campeggi (€/utente)</v>
      </c>
      <c r="C44" s="797"/>
      <c r="D44" s="795">
        <f>Ou_Cost_Personalizzazione2_NuovaEdif</f>
        <v>0</v>
      </c>
      <c r="E44" s="795"/>
      <c r="F44" s="795"/>
      <c r="G44" s="798"/>
      <c r="H44" s="795">
        <f>Ou_Rist_Personalizzazione2</f>
        <v>0</v>
      </c>
      <c r="I44" s="795"/>
      <c r="J44" s="795"/>
      <c r="K44" s="824"/>
      <c r="L44" s="798"/>
      <c r="M44" s="798"/>
      <c r="N44" s="817"/>
      <c r="O44" s="546"/>
    </row>
    <row r="45" s="764" customFormat="1" customHeight="1" spans="1:15">
      <c r="A45" s="782"/>
      <c r="B45" s="783" t="s">
        <v>69</v>
      </c>
      <c r="C45" s="784"/>
      <c r="D45" s="785">
        <f>IF(ISERROR(MATCH(ZonaTerritoriale,ElencoZone,0))=TRUE,0,INDEX(MatriceParametri,MATCH(ZonaTerritoriale,ElencoZone,0),21))</f>
        <v>301.05</v>
      </c>
      <c r="E45" s="786"/>
      <c r="F45" s="792">
        <f>PRODUCT(D44,D45)</f>
        <v>0</v>
      </c>
      <c r="G45" s="788"/>
      <c r="H45" s="794">
        <f>IF(ISERROR(MATCH(ZonaTerritoriale,ElencoZone,0))=TRUE,0,INDEX(MatriceParametri,MATCH(ZonaTerritoriale,ElencoZone,0),22))</f>
        <v>119.55</v>
      </c>
      <c r="I45" s="786"/>
      <c r="J45" s="792">
        <f>PRODUCT(H44,H45)</f>
        <v>0</v>
      </c>
      <c r="K45" s="818"/>
      <c r="L45" s="826">
        <f>ROUND(SUM(F45,J45),2)</f>
        <v>0</v>
      </c>
      <c r="M45" s="826"/>
      <c r="N45" s="823"/>
      <c r="O45" s="28"/>
    </row>
    <row r="46" s="764" customFormat="1" customHeight="1" spans="1:15">
      <c r="A46" s="782"/>
      <c r="B46" s="789" t="s">
        <v>70</v>
      </c>
      <c r="C46" s="790"/>
      <c r="D46" s="791">
        <f>IF(ISERROR(MATCH(ZonaTerritoriale,ElencoZone,0))=TRUE,0,INDEX(MatriceParametri,MATCH(ZonaTerritoriale,ElencoZone,0)+1,21))</f>
        <v>205.2</v>
      </c>
      <c r="E46" s="786"/>
      <c r="F46" s="792">
        <f>PRODUCT(D44,D46)</f>
        <v>0</v>
      </c>
      <c r="G46" s="793"/>
      <c r="H46" s="794">
        <f>IF(ISERROR(MATCH(ZonaTerritoriale,ElencoZone,0))=TRUE,0,INDEX(MatriceParametri,MATCH(ZonaTerritoriale,ElencoZone,0)+1,22))</f>
        <v>91.75</v>
      </c>
      <c r="I46" s="786"/>
      <c r="J46" s="792">
        <f>PRODUCT(H44,H46)</f>
        <v>0</v>
      </c>
      <c r="K46" s="822"/>
      <c r="L46" s="826">
        <f>ROUND(SUM(F46,J46),2)</f>
        <v>0</v>
      </c>
      <c r="M46" s="826"/>
      <c r="N46" s="823"/>
      <c r="O46" s="28"/>
    </row>
    <row r="47" s="763" customFormat="1" customHeight="1" spans="1:15">
      <c r="A47" s="782"/>
      <c r="B47" s="789" t="s">
        <v>71</v>
      </c>
      <c r="C47" s="790"/>
      <c r="D47" s="794">
        <f>IF(ISERROR(MATCH(ZonaTerritoriale,ElencoZone,0))=TRUE,0,INDEX(MatriceParametri,MATCH(ZonaTerritoriale,ElencoZone,0)+2,21))</f>
        <v>0</v>
      </c>
      <c r="E47" s="786"/>
      <c r="F47" s="792">
        <f>PRODUCT(D44,D47)</f>
        <v>0</v>
      </c>
      <c r="G47" s="793"/>
      <c r="H47" s="794">
        <f>IF(ISERROR(MATCH(ZonaTerritoriale,ElencoZone,0))=TRUE,0,INDEX(MatriceParametri,MATCH(ZonaTerritoriale,ElencoZone,0)+2,22))</f>
        <v>0</v>
      </c>
      <c r="I47" s="786"/>
      <c r="J47" s="792">
        <f>PRODUCT(H44,H47)</f>
        <v>0</v>
      </c>
      <c r="K47" s="822"/>
      <c r="L47" s="826">
        <f>ROUND(SUM(F47,J47),2)</f>
        <v>0</v>
      </c>
      <c r="M47" s="826"/>
      <c r="N47" s="823"/>
      <c r="O47" s="603"/>
    </row>
    <row r="48" s="762" customFormat="1" ht="20.1" hidden="1" customHeight="1" spans="1:15">
      <c r="A48" s="776"/>
      <c r="B48" s="796" t="str">
        <f>Parametri_DestUsoPersonalizzazione11</f>
        <v>Destinazione ulteriore 3</v>
      </c>
      <c r="C48" s="797"/>
      <c r="D48" s="795">
        <f>Ou_Cost_Personalizzazione3_NuovaEdif</f>
        <v>0</v>
      </c>
      <c r="E48" s="795"/>
      <c r="F48" s="795"/>
      <c r="G48" s="798"/>
      <c r="H48" s="795">
        <f>Ou_Rist_Personalizzazione3</f>
        <v>0</v>
      </c>
      <c r="I48" s="795"/>
      <c r="J48" s="795"/>
      <c r="K48" s="824"/>
      <c r="L48" s="798"/>
      <c r="M48" s="798"/>
      <c r="N48" s="817"/>
      <c r="O48" s="546"/>
    </row>
    <row r="49" s="764" customFormat="1" hidden="1" customHeight="1" spans="1:15">
      <c r="A49" s="782"/>
      <c r="B49" s="783" t="s">
        <v>69</v>
      </c>
      <c r="C49" s="784"/>
      <c r="D49" s="785">
        <f>IF(ISERROR(MATCH(ZonaTerritoriale,ElencoZone,0))=TRUE,0,INDEX(MatriceParametri,MATCH(ZonaTerritoriale,ElencoZone,0),23))</f>
        <v>0</v>
      </c>
      <c r="E49" s="786"/>
      <c r="F49" s="792">
        <f>PRODUCT(D48,D49)</f>
        <v>0</v>
      </c>
      <c r="G49" s="788"/>
      <c r="H49" s="794">
        <f>IF(ISERROR(MATCH(ZonaTerritoriale,ElencoZone,0))=TRUE,0,INDEX(MatriceParametri,MATCH(ZonaTerritoriale,ElencoZone,0),24))</f>
        <v>0</v>
      </c>
      <c r="I49" s="786"/>
      <c r="J49" s="792">
        <f>PRODUCT(H48,H49)</f>
        <v>0</v>
      </c>
      <c r="K49" s="818"/>
      <c r="L49" s="826">
        <f>ROUND(SUM(F49,J49),2)</f>
        <v>0</v>
      </c>
      <c r="M49" s="826"/>
      <c r="N49" s="823"/>
      <c r="O49" s="28"/>
    </row>
    <row r="50" s="764" customFormat="1" hidden="1" customHeight="1" spans="1:15">
      <c r="A50" s="782"/>
      <c r="B50" s="789" t="s">
        <v>70</v>
      </c>
      <c r="C50" s="790"/>
      <c r="D50" s="791">
        <f>IF(ISERROR(MATCH(ZonaTerritoriale,ElencoZone,0))=TRUE,0,INDEX(MatriceParametri,MATCH(ZonaTerritoriale,ElencoZone,0)+1,23))</f>
        <v>0</v>
      </c>
      <c r="E50" s="786"/>
      <c r="F50" s="792">
        <f>PRODUCT(D48,D50)</f>
        <v>0</v>
      </c>
      <c r="G50" s="793"/>
      <c r="H50" s="794">
        <f>IF(ISERROR(MATCH(ZonaTerritoriale,ElencoZone,0))=TRUE,0,INDEX(MatriceParametri,MATCH(ZonaTerritoriale,ElencoZone,0)+1,24))</f>
        <v>0</v>
      </c>
      <c r="I50" s="786"/>
      <c r="J50" s="792">
        <f>PRODUCT(H48,H50)</f>
        <v>0</v>
      </c>
      <c r="K50" s="822"/>
      <c r="L50" s="826">
        <f>ROUND(SUM(F50,J50),2)</f>
        <v>0</v>
      </c>
      <c r="M50" s="826"/>
      <c r="N50" s="823"/>
      <c r="O50" s="28"/>
    </row>
    <row r="51" s="763" customFormat="1" hidden="1" customHeight="1" spans="1:15">
      <c r="A51" s="782"/>
      <c r="B51" s="789" t="s">
        <v>71</v>
      </c>
      <c r="C51" s="790"/>
      <c r="D51" s="794">
        <f>IF(ISERROR(MATCH(ZonaTerritoriale,ElencoZone,0))=TRUE,0,INDEX(MatriceParametri,MATCH(ZonaTerritoriale,ElencoZone,0)+2,23))</f>
        <v>0</v>
      </c>
      <c r="E51" s="786"/>
      <c r="F51" s="792">
        <f>PRODUCT(D48,D51)</f>
        <v>0</v>
      </c>
      <c r="G51" s="793"/>
      <c r="H51" s="794">
        <f>IF(ISERROR(MATCH(ZonaTerritoriale,ElencoZone,0))=TRUE,0,INDEX(MatriceParametri,MATCH(ZonaTerritoriale,ElencoZone,0)+2,24))</f>
        <v>0</v>
      </c>
      <c r="I51" s="786"/>
      <c r="J51" s="792">
        <f>PRODUCT(H48,H51)</f>
        <v>0</v>
      </c>
      <c r="K51" s="822"/>
      <c r="L51" s="826">
        <f>ROUND(SUM(F51,J51),2)</f>
        <v>0</v>
      </c>
      <c r="M51" s="826"/>
      <c r="N51" s="823"/>
      <c r="O51" s="603"/>
    </row>
    <row r="52" s="762" customFormat="1" ht="20.1" hidden="1" customHeight="1" spans="1:15">
      <c r="A52" s="776"/>
      <c r="B52" s="796" t="str">
        <f>Parametri_DestUsoPersonalizzazione12</f>
        <v>Destinazione ulteriore 4</v>
      </c>
      <c r="C52" s="797"/>
      <c r="D52" s="795">
        <f>Ou_Cost_Personalizzazione4_NuovaEdif</f>
        <v>0</v>
      </c>
      <c r="E52" s="795"/>
      <c r="F52" s="795"/>
      <c r="G52" s="798"/>
      <c r="H52" s="795">
        <f>Ou_Rist_Personalizzazione4</f>
        <v>0</v>
      </c>
      <c r="I52" s="795"/>
      <c r="J52" s="795"/>
      <c r="K52" s="824"/>
      <c r="L52" s="798"/>
      <c r="M52" s="798"/>
      <c r="N52" s="817"/>
      <c r="O52" s="546"/>
    </row>
    <row r="53" s="764" customFormat="1" hidden="1" customHeight="1" spans="1:15">
      <c r="A53" s="782"/>
      <c r="B53" s="783" t="s">
        <v>69</v>
      </c>
      <c r="C53" s="784"/>
      <c r="D53" s="785">
        <f>IF(ISERROR(MATCH(ZonaTerritoriale,ElencoZone,0))=TRUE,0,INDEX(MatriceParametri,MATCH(ZonaTerritoriale,ElencoZone,0),25))</f>
        <v>0</v>
      </c>
      <c r="E53" s="786"/>
      <c r="F53" s="792">
        <f>PRODUCT(D52,D53)</f>
        <v>0</v>
      </c>
      <c r="G53" s="788"/>
      <c r="H53" s="794">
        <f>IF(ISERROR(MATCH(ZonaTerritoriale,ElencoZone,0))=TRUE,0,INDEX(MatriceParametri,MATCH(ZonaTerritoriale,ElencoZone,0),26))</f>
        <v>0</v>
      </c>
      <c r="I53" s="786"/>
      <c r="J53" s="792">
        <f>PRODUCT(H52,H53)</f>
        <v>0</v>
      </c>
      <c r="K53" s="818"/>
      <c r="L53" s="826">
        <f>ROUND(SUM(F53,J53),2)</f>
        <v>0</v>
      </c>
      <c r="M53" s="826"/>
      <c r="N53" s="823"/>
      <c r="O53" s="28"/>
    </row>
    <row r="54" s="764" customFormat="1" hidden="1" customHeight="1" spans="1:15">
      <c r="A54" s="782"/>
      <c r="B54" s="789" t="s">
        <v>70</v>
      </c>
      <c r="C54" s="790"/>
      <c r="D54" s="791">
        <f>IF(ISERROR(MATCH(ZonaTerritoriale,ElencoZone,0))=TRUE,0,INDEX(MatriceParametri,MATCH(ZonaTerritoriale,ElencoZone,0)+1,25))</f>
        <v>0</v>
      </c>
      <c r="E54" s="786"/>
      <c r="F54" s="792">
        <f>PRODUCT(D52,D54)</f>
        <v>0</v>
      </c>
      <c r="G54" s="793"/>
      <c r="H54" s="794">
        <f>IF(ISERROR(MATCH(ZonaTerritoriale,ElencoZone,0))=TRUE,0,INDEX(MatriceParametri,MATCH(ZonaTerritoriale,ElencoZone,0)+1,26))</f>
        <v>0</v>
      </c>
      <c r="I54" s="786"/>
      <c r="J54" s="792">
        <f>PRODUCT(H52,H54)</f>
        <v>0</v>
      </c>
      <c r="K54" s="822"/>
      <c r="L54" s="826">
        <f>ROUND(SUM(F54,J54),2)</f>
        <v>0</v>
      </c>
      <c r="M54" s="826"/>
      <c r="N54" s="823"/>
      <c r="O54" s="28"/>
    </row>
    <row r="55" s="763" customFormat="1" hidden="1" customHeight="1" spans="1:15">
      <c r="A55" s="782"/>
      <c r="B55" s="789" t="s">
        <v>71</v>
      </c>
      <c r="C55" s="790"/>
      <c r="D55" s="794">
        <f>IF(ISERROR(MATCH(ZonaTerritoriale,ElencoZone,0))=TRUE,0,INDEX(MatriceParametri,MATCH(ZonaTerritoriale,ElencoZone,0)+2,25))</f>
        <v>0</v>
      </c>
      <c r="E55" s="786"/>
      <c r="F55" s="792">
        <f>PRODUCT(D52,D55)</f>
        <v>0</v>
      </c>
      <c r="G55" s="793"/>
      <c r="H55" s="794">
        <f>IF(ISERROR(MATCH(ZonaTerritoriale,ElencoZone,0))=TRUE,0,INDEX(MatriceParametri,MATCH(ZonaTerritoriale,ElencoZone,0)+2,26))</f>
        <v>0</v>
      </c>
      <c r="I55" s="786"/>
      <c r="J55" s="792">
        <f>PRODUCT(H52,H55)</f>
        <v>0</v>
      </c>
      <c r="K55" s="822"/>
      <c r="L55" s="826">
        <f>ROUND(SUM(F55,J55),2)</f>
        <v>0</v>
      </c>
      <c r="M55" s="826"/>
      <c r="N55" s="823"/>
      <c r="O55" s="603"/>
    </row>
    <row r="56" s="762" customFormat="1" ht="20.1" hidden="1" customHeight="1" spans="1:15">
      <c r="A56" s="776"/>
      <c r="B56" s="796" t="str">
        <f>Parametri_DestUsoPersonalizzazione13</f>
        <v>Destinazione ulteriore 5</v>
      </c>
      <c r="C56" s="797"/>
      <c r="D56" s="795">
        <f>Ou_Cost_Personalizzazione5_NuovaEdif</f>
        <v>0</v>
      </c>
      <c r="E56" s="795"/>
      <c r="F56" s="795"/>
      <c r="G56" s="798"/>
      <c r="H56" s="795">
        <f>Ou_Rist_Personalizzazione5</f>
        <v>0</v>
      </c>
      <c r="I56" s="795"/>
      <c r="J56" s="795"/>
      <c r="K56" s="824"/>
      <c r="L56" s="798"/>
      <c r="M56" s="798"/>
      <c r="N56" s="817"/>
      <c r="O56" s="546"/>
    </row>
    <row r="57" s="764" customFormat="1" hidden="1" customHeight="1" spans="1:15">
      <c r="A57" s="782"/>
      <c r="B57" s="783" t="s">
        <v>69</v>
      </c>
      <c r="C57" s="784"/>
      <c r="D57" s="785">
        <f>IF(ISERROR(MATCH(ZonaTerritoriale,ElencoZone,0))=TRUE,0,INDEX(MatriceParametri,MATCH(ZonaTerritoriale,ElencoZone,0),27))</f>
        <v>0</v>
      </c>
      <c r="E57" s="786"/>
      <c r="F57" s="792">
        <f>PRODUCT(D56,D57)</f>
        <v>0</v>
      </c>
      <c r="G57" s="788"/>
      <c r="H57" s="794">
        <f>IF(ISERROR(MATCH(ZonaTerritoriale,ElencoZone,0))=TRUE,0,INDEX(MatriceParametri,MATCH(ZonaTerritoriale,ElencoZone,0),28))</f>
        <v>0</v>
      </c>
      <c r="I57" s="786"/>
      <c r="J57" s="792">
        <f>PRODUCT(H56,H57)</f>
        <v>0</v>
      </c>
      <c r="K57" s="818"/>
      <c r="L57" s="826">
        <f>ROUND(SUM(F57,J57),2)</f>
        <v>0</v>
      </c>
      <c r="M57" s="826"/>
      <c r="N57" s="823"/>
      <c r="O57" s="28"/>
    </row>
    <row r="58" s="764" customFormat="1" hidden="1" customHeight="1" spans="1:15">
      <c r="A58" s="782"/>
      <c r="B58" s="789" t="s">
        <v>70</v>
      </c>
      <c r="C58" s="790"/>
      <c r="D58" s="791">
        <f>IF(ISERROR(MATCH(ZonaTerritoriale,ElencoZone,0))=TRUE,0,INDEX(MatriceParametri,MATCH(ZonaTerritoriale,ElencoZone,0)+1,27))</f>
        <v>0</v>
      </c>
      <c r="E58" s="786"/>
      <c r="F58" s="792">
        <f>PRODUCT(D56,D58)</f>
        <v>0</v>
      </c>
      <c r="G58" s="793"/>
      <c r="H58" s="794">
        <f>IF(ISERROR(MATCH(ZonaTerritoriale,ElencoZone,0))=TRUE,0,INDEX(MatriceParametri,MATCH(ZonaTerritoriale,ElencoZone,0)+1,28))</f>
        <v>0</v>
      </c>
      <c r="I58" s="786"/>
      <c r="J58" s="792">
        <f>PRODUCT(H56,H58)</f>
        <v>0</v>
      </c>
      <c r="K58" s="822"/>
      <c r="L58" s="826">
        <f>ROUND(SUM(F58,J58),2)</f>
        <v>0</v>
      </c>
      <c r="M58" s="826"/>
      <c r="N58" s="823"/>
      <c r="O58" s="28"/>
    </row>
    <row r="59" s="763" customFormat="1" hidden="1" customHeight="1" spans="1:15">
      <c r="A59" s="782"/>
      <c r="B59" s="789" t="s">
        <v>71</v>
      </c>
      <c r="C59" s="790"/>
      <c r="D59" s="794">
        <f>IF(ISERROR(MATCH(ZonaTerritoriale,ElencoZone,0))=TRUE,0,INDEX(MatriceParametri,MATCH(ZonaTerritoriale,ElencoZone,0)+2,27))</f>
        <v>0</v>
      </c>
      <c r="E59" s="786"/>
      <c r="F59" s="792">
        <f>PRODUCT(D56,D59)</f>
        <v>0</v>
      </c>
      <c r="G59" s="793"/>
      <c r="H59" s="794">
        <f>IF(ISERROR(MATCH(ZonaTerritoriale,ElencoZone,0))=TRUE,0,INDEX(MatriceParametri,MATCH(ZonaTerritoriale,ElencoZone,0)+2,28))</f>
        <v>0</v>
      </c>
      <c r="I59" s="786"/>
      <c r="J59" s="792">
        <f>PRODUCT(H56,H59)</f>
        <v>0</v>
      </c>
      <c r="K59" s="822"/>
      <c r="L59" s="826">
        <f>ROUND(SUM(F59,J59),2)</f>
        <v>0</v>
      </c>
      <c r="M59" s="826"/>
      <c r="N59" s="823"/>
      <c r="O59" s="603"/>
    </row>
    <row r="60" s="763" customFormat="1" customHeight="1" spans="1:15">
      <c r="A60" s="782"/>
      <c r="B60" s="789"/>
      <c r="C60" s="803"/>
      <c r="D60" s="803"/>
      <c r="E60" s="803"/>
      <c r="F60" s="807">
        <f>SUM(F5:F59)</f>
        <v>0</v>
      </c>
      <c r="G60" s="803"/>
      <c r="H60" s="803"/>
      <c r="I60" s="803"/>
      <c r="J60" s="807">
        <f>SUM(J5:J59)</f>
        <v>0</v>
      </c>
      <c r="K60" s="803"/>
      <c r="L60" s="803"/>
      <c r="M60" s="803"/>
      <c r="N60" s="823"/>
      <c r="O60" s="603"/>
    </row>
    <row r="61" s="678" customFormat="1" spans="1:15">
      <c r="A61" s="782"/>
      <c r="B61" s="808" t="s">
        <v>25</v>
      </c>
      <c r="C61" s="809"/>
      <c r="D61" s="809"/>
      <c r="E61" s="809"/>
      <c r="F61" s="809"/>
      <c r="G61" s="810"/>
      <c r="H61" s="810"/>
      <c r="I61" s="793"/>
      <c r="J61" s="829"/>
      <c r="K61" s="829"/>
      <c r="L61" s="793"/>
      <c r="M61" s="810"/>
      <c r="N61" s="823"/>
      <c r="O61" s="49"/>
    </row>
    <row r="62" s="763" customFormat="1" customHeight="1" spans="1:15">
      <c r="A62" s="782"/>
      <c r="B62" s="708" t="s">
        <v>72</v>
      </c>
      <c r="C62" s="709"/>
      <c r="D62" s="709"/>
      <c r="E62" s="709"/>
      <c r="F62" s="709"/>
      <c r="G62" s="709"/>
      <c r="H62" s="709"/>
      <c r="I62" s="709"/>
      <c r="J62" s="709"/>
      <c r="K62" s="710"/>
      <c r="L62" s="826">
        <f>ROUND(SUM(L5,L9,L13,L17,L21,L25,L29,L33,L37,L41,L45,L49,L53,L57),2)</f>
        <v>0</v>
      </c>
      <c r="M62" s="826"/>
      <c r="N62" s="830"/>
      <c r="O62" s="603"/>
    </row>
    <row r="63" s="763" customFormat="1" customHeight="1" spans="1:15">
      <c r="A63" s="782"/>
      <c r="B63" s="708" t="s">
        <v>29</v>
      </c>
      <c r="C63" s="709"/>
      <c r="D63" s="709"/>
      <c r="E63" s="709"/>
      <c r="F63" s="709"/>
      <c r="G63" s="709"/>
      <c r="H63" s="709"/>
      <c r="I63" s="709"/>
      <c r="J63" s="709"/>
      <c r="K63" s="710"/>
      <c r="L63" s="831" t="str">
        <f>IF(CC_AltriCosti_ValoreMaggOnPrimRecSott&gt;0,IF(Parametri_MaggiorazioneSottotetti&gt;0,TEXT(Parametri_MaggiorazioneSottotetti,"0%"),"Nessuna"),"")</f>
        <v/>
      </c>
      <c r="M63" s="832">
        <f>ImportoOneriUrbRecSottPrimaria*Parametri_MaggiorazioneSottotetti</f>
        <v>0</v>
      </c>
      <c r="N63" s="830"/>
      <c r="O63" s="603"/>
    </row>
    <row r="64" s="763" customFormat="1" hidden="1" customHeight="1" spans="1:15">
      <c r="A64" s="782"/>
      <c r="B64" s="694" t="s">
        <v>31</v>
      </c>
      <c r="C64" s="695"/>
      <c r="D64" s="695"/>
      <c r="E64" s="695"/>
      <c r="F64" s="695"/>
      <c r="G64" s="695"/>
      <c r="H64" s="695"/>
      <c r="I64" s="695"/>
      <c r="J64" s="695"/>
      <c r="K64" s="696"/>
      <c r="L64" s="831" t="str">
        <f>IF(OnPrim_RiduzionePianoCasa&gt;0,IF(Par_PianoCasa_Rid&gt;0,TEXT(Par_PianoCasa_Rid,"0%")&amp;" a dedurre","Nessuna"),"")</f>
        <v/>
      </c>
      <c r="M64" s="832">
        <f>IF(PianoCasa="Sì",((ImportoOneriUrb1+ImportoOneriUrb1_NuovaDest+CC_AltriCosti_ValoreMaggOnPrimRecSott)*Par_PianoCasa_RidCC),0)</f>
        <v>0</v>
      </c>
      <c r="N64" s="830"/>
      <c r="O64" s="603"/>
    </row>
    <row r="65" s="763" customFormat="1" customHeight="1" spans="1:15">
      <c r="A65" s="782"/>
      <c r="B65" s="694" t="s">
        <v>32</v>
      </c>
      <c r="C65" s="695"/>
      <c r="D65" s="695"/>
      <c r="E65" s="695"/>
      <c r="F65" s="695"/>
      <c r="G65" s="695"/>
      <c r="H65" s="695"/>
      <c r="I65" s="695"/>
      <c r="J65" s="695"/>
      <c r="K65" s="696"/>
      <c r="L65" s="844" t="str">
        <f>IF(OnPrim_RiduzioneSostituzione&gt;0,IF(Par_Sostituzione_Rid_Oneri&gt;0,TEXT(Par_Sostituzione_Rid_Oneri,"0%")&amp;" a dedurre","Nessuna"),"")</f>
        <v/>
      </c>
      <c r="M65" s="845">
        <f>IF(Sostituzione="Sì",((ImportoOneriUrb1+CC_AltriCosti_ValoreMaggOnPrimRecSott)*Par_Sostituzione_Rid_Oneri),0)</f>
        <v>0</v>
      </c>
      <c r="N65" s="830"/>
      <c r="O65" s="603"/>
    </row>
    <row r="66" s="763" customFormat="1" customHeight="1" spans="1:15">
      <c r="A66" s="782"/>
      <c r="B66" s="694" t="s">
        <v>33</v>
      </c>
      <c r="C66" s="695"/>
      <c r="D66" s="695"/>
      <c r="E66" s="695"/>
      <c r="F66" s="695"/>
      <c r="G66" s="695"/>
      <c r="H66" s="695"/>
      <c r="I66" s="695"/>
      <c r="J66" s="695"/>
      <c r="K66" s="696"/>
      <c r="L66" s="844" t="str">
        <f>IF(OnPrim_RiduzioneDensificazione&gt;0,IF(Par_Rid_Densificazione_Oneri&gt;0,TEXT(Par_Rid_Densificazione_Oneri,"0%")&amp;" a dedurre","Nessuna"),"")</f>
        <v/>
      </c>
      <c r="M66" s="845">
        <f>IF(Densificazione="Sì",((ImportoOneriUrb1+CC_AltriCosti_ValoreMaggOnPrimRecSott)*Par_Rid_Densificazione_Oneri),0)</f>
        <v>0</v>
      </c>
      <c r="N66" s="830"/>
      <c r="O66" s="603"/>
    </row>
    <row r="67" s="763" customFormat="1" customHeight="1" spans="1:15">
      <c r="A67" s="782"/>
      <c r="B67" s="694" t="s">
        <v>73</v>
      </c>
      <c r="C67" s="695"/>
      <c r="D67" s="695"/>
      <c r="E67" s="695"/>
      <c r="F67" s="695"/>
      <c r="G67" s="695"/>
      <c r="H67" s="695"/>
      <c r="I67" s="695"/>
      <c r="J67" s="695"/>
      <c r="K67" s="696"/>
      <c r="L67" s="844" t="str">
        <f>IF(DescInt_RisparmioPercent&gt;0,IF(DescInt_RisparmioPercent&gt;0,TEXT(DescInt_RisparmioPercent,"0%")&amp;" a dedurre","Nessuna"),"")</f>
        <v/>
      </c>
      <c r="M67" s="845">
        <f>OC_RispEnerResid_Hide+N37</f>
        <v>0</v>
      </c>
      <c r="N67" s="830"/>
      <c r="O67" s="603"/>
    </row>
    <row r="68" s="763" customFormat="1" customHeight="1" spans="1:15">
      <c r="A68" s="782"/>
      <c r="B68" s="694" t="s">
        <v>34</v>
      </c>
      <c r="C68" s="695"/>
      <c r="D68" s="695"/>
      <c r="E68" s="695"/>
      <c r="F68" s="695"/>
      <c r="G68" s="695"/>
      <c r="H68" s="695"/>
      <c r="I68" s="695"/>
      <c r="J68" s="695"/>
      <c r="K68" s="696"/>
      <c r="L68" s="844" t="str">
        <f>IF(Oneri_Urb_Prim_Corrisposti&gt;0," a dedurre","")</f>
        <v/>
      </c>
      <c r="M68" s="845">
        <f>Oneri_Urb_Prim_Corrisposti</f>
        <v>0</v>
      </c>
      <c r="N68" s="830"/>
      <c r="O68" s="603"/>
    </row>
    <row r="69" s="763" customFormat="1" customHeight="1" spans="1:15">
      <c r="A69" s="782"/>
      <c r="B69" s="708" t="s">
        <v>35</v>
      </c>
      <c r="C69" s="709"/>
      <c r="D69" s="709"/>
      <c r="E69" s="709"/>
      <c r="F69" s="709"/>
      <c r="G69" s="709"/>
      <c r="H69" s="709"/>
      <c r="I69" s="709"/>
      <c r="J69" s="709"/>
      <c r="K69" s="710"/>
      <c r="L69" s="844"/>
      <c r="M69" s="832">
        <f>OpereUrbPrimRealizzate</f>
        <v>0</v>
      </c>
      <c r="N69" s="830"/>
      <c r="O69" s="603"/>
    </row>
    <row r="70" s="763" customFormat="1" customHeight="1" spans="1:15">
      <c r="A70" s="782"/>
      <c r="B70" s="708" t="s">
        <v>36</v>
      </c>
      <c r="C70" s="709"/>
      <c r="D70" s="709"/>
      <c r="E70" s="709"/>
      <c r="F70" s="709"/>
      <c r="G70" s="709"/>
      <c r="H70" s="709"/>
      <c r="I70" s="709"/>
      <c r="J70" s="709"/>
      <c r="K70" s="710"/>
      <c r="L70" s="844"/>
      <c r="M70" s="846">
        <f>IF(Ou_PrimariaDefiniti="No",-(Riepilogo_OneriUrbPrimEsclusoSott+Riepilogo_OneriUrbPrimCambioUso+Riepilogo_OneriUrbPrimSott),0)</f>
        <v>0</v>
      </c>
      <c r="N70" s="830"/>
      <c r="O70" s="603"/>
    </row>
    <row r="71" s="763" customFormat="1" customHeight="1" spans="1:15">
      <c r="A71" s="782"/>
      <c r="B71" s="833" t="s">
        <v>37</v>
      </c>
      <c r="C71" s="834"/>
      <c r="D71" s="834"/>
      <c r="E71" s="834"/>
      <c r="F71" s="834"/>
      <c r="G71" s="834"/>
      <c r="H71" s="834"/>
      <c r="I71" s="834"/>
      <c r="J71" s="834"/>
      <c r="K71" s="847"/>
      <c r="L71" s="848">
        <f>IF(ImportoOneriUrb1+CC_AltriCosti_ValoreMaggOnPrimRecSott-OnPrim_RiduzionePianoCasa-OnPrim_RiduzioneSostituzione-OnPrim_RiduzioneDensificazione-OnPrim_RiduzioneRispEnerg-CC_Oneri_Urb_Prim_Corrisposti-CC_OpereUrbPrimRealizzate+CC_UrbPrimScomputati&gt;0,ImportoOneriUrb1+CC_AltriCosti_ValoreMaggOnPrimRecSott-OnPrim_RiduzionePianoCasa-OnPrim_RiduzioneDensificazione-OnPrim_RiduzioneRispEnerg-CC_Oneri_Urb_Prim_Corrisposti-CC_OpereUrbPrimRealizzate+CC_UrbPrimScomputati,0)</f>
        <v>0</v>
      </c>
      <c r="M71" s="849"/>
      <c r="N71" s="830"/>
      <c r="O71" s="603"/>
    </row>
    <row r="72" s="763" customFormat="1" customHeight="1" spans="1:15">
      <c r="A72" s="782"/>
      <c r="B72" s="808" t="s">
        <v>38</v>
      </c>
      <c r="C72" s="809"/>
      <c r="D72" s="809"/>
      <c r="E72" s="809"/>
      <c r="F72" s="809"/>
      <c r="G72" s="687"/>
      <c r="H72" s="687"/>
      <c r="I72" s="687"/>
      <c r="J72" s="687"/>
      <c r="K72" s="687"/>
      <c r="L72" s="850"/>
      <c r="M72" s="851"/>
      <c r="N72" s="830"/>
      <c r="O72" s="603"/>
    </row>
    <row r="73" s="763" customFormat="1" customHeight="1" spans="1:15">
      <c r="A73" s="782"/>
      <c r="B73" s="708" t="s">
        <v>72</v>
      </c>
      <c r="C73" s="709"/>
      <c r="D73" s="709"/>
      <c r="E73" s="709"/>
      <c r="F73" s="709"/>
      <c r="G73" s="709"/>
      <c r="H73" s="709"/>
      <c r="I73" s="709"/>
      <c r="J73" s="709"/>
      <c r="K73" s="710"/>
      <c r="L73" s="826">
        <f>ROUND(SUM(L6,L10,L14,L18,L22,L26,L30,L34,L38,L42,L46,L50,L54,L58),2)</f>
        <v>0</v>
      </c>
      <c r="M73" s="826"/>
      <c r="N73" s="830"/>
      <c r="O73" s="603"/>
    </row>
    <row r="74" s="763" customFormat="1" customHeight="1" spans="1:15">
      <c r="A74" s="782"/>
      <c r="B74" s="694" t="s">
        <v>74</v>
      </c>
      <c r="C74" s="695"/>
      <c r="D74" s="695"/>
      <c r="E74" s="695"/>
      <c r="F74" s="695"/>
      <c r="G74" s="695"/>
      <c r="H74" s="695"/>
      <c r="I74" s="695"/>
      <c r="J74" s="695"/>
      <c r="K74" s="696"/>
      <c r="L74" s="831" t="str">
        <f>IF(CC_AltriCosti_ValoreMaggOnRecSott&gt;0,IF(Parametri_MaggiorazioneSottotetti&gt;0,TEXT(Parametri_MaggiorazioneSottotetti,"0%"),"Nessuna"),"")</f>
        <v/>
      </c>
      <c r="M74" s="832">
        <f>ImportoOneriUrbRecSottSecondaria*Parametri_MaggiorazioneSottotetti</f>
        <v>0</v>
      </c>
      <c r="N74" s="830"/>
      <c r="O74" s="603"/>
    </row>
    <row r="75" s="763" customFormat="1" hidden="1" customHeight="1" spans="1:15">
      <c r="A75" s="782"/>
      <c r="B75" s="694" t="s">
        <v>31</v>
      </c>
      <c r="C75" s="695"/>
      <c r="D75" s="695"/>
      <c r="E75" s="695"/>
      <c r="F75" s="695"/>
      <c r="G75" s="695"/>
      <c r="H75" s="695"/>
      <c r="I75" s="695"/>
      <c r="J75" s="695"/>
      <c r="K75" s="696"/>
      <c r="L75" s="831" t="str">
        <f>IF(OnSec_RiduzionePianoCasa&gt;0,IF(Par_PianoCasa_Rid&gt;0,TEXT(Par_PianoCasa_Rid,"0%")&amp;" a dedurre","Nessuna"),"")</f>
        <v/>
      </c>
      <c r="M75" s="832">
        <f>IF(PianoCasa="Sì",((ImportoOneriUrb2+ImportoOneriUrb2_NuovaDest+CC_AltriCosti_ValoreMaggOnRecSott)*Par_PianoCasa_RidCC),0)</f>
        <v>0</v>
      </c>
      <c r="N75" s="830"/>
      <c r="O75" s="603"/>
    </row>
    <row r="76" s="763" customFormat="1" customHeight="1" spans="1:15">
      <c r="A76" s="782"/>
      <c r="B76" s="694" t="s">
        <v>32</v>
      </c>
      <c r="C76" s="695"/>
      <c r="D76" s="695"/>
      <c r="E76" s="695"/>
      <c r="F76" s="695"/>
      <c r="G76" s="695"/>
      <c r="H76" s="695"/>
      <c r="I76" s="695"/>
      <c r="J76" s="695"/>
      <c r="K76" s="696"/>
      <c r="L76" s="831" t="str">
        <f>IF(OnSec_RiduzioneSostituzione&gt;0,IF(Par_Sostituzione_Rid_Oneri&gt;0,TEXT(Par_Sostituzione_Rid_Oneri,"0%")&amp;" a dedurre","Nessuna"),"")</f>
        <v/>
      </c>
      <c r="M76" s="832">
        <f>IF(Sostituzione="Sì",((ImportoOneriUrb2+CC_AltriCosti_ValoreMaggOnRecSott)*Par_Sostituzione_Rid_Oneri),0)</f>
        <v>0</v>
      </c>
      <c r="N76" s="830"/>
      <c r="O76" s="603"/>
    </row>
    <row r="77" s="763" customFormat="1" customHeight="1" spans="1:15">
      <c r="A77" s="782"/>
      <c r="B77" s="694" t="s">
        <v>33</v>
      </c>
      <c r="C77" s="695"/>
      <c r="D77" s="695"/>
      <c r="E77" s="695"/>
      <c r="F77" s="695"/>
      <c r="G77" s="695"/>
      <c r="H77" s="695"/>
      <c r="I77" s="695"/>
      <c r="J77" s="695"/>
      <c r="K77" s="696"/>
      <c r="L77" s="844" t="str">
        <f>IF(OnPrim_RiduzioneDensificazione&gt;0,IF(Par_Rid_Densificazione_Oneri&gt;0,TEXT(Par_Rid_Densificazione_Oneri,"0%")&amp;" a dedurre","Nessuna"),"")</f>
        <v/>
      </c>
      <c r="M77" s="832">
        <f>IF(Densificazione="Sì",((ImportoOneriUrb2+CC_AltriCosti_ValoreMaggOnRecSott)*Par_Rid_Densificazione_Oneri),0)</f>
        <v>0</v>
      </c>
      <c r="N77" s="830"/>
      <c r="O77" s="603"/>
    </row>
    <row r="78" s="763" customFormat="1" customHeight="1" spans="1:15">
      <c r="A78" s="782"/>
      <c r="B78" s="694" t="s">
        <v>73</v>
      </c>
      <c r="C78" s="695"/>
      <c r="D78" s="695"/>
      <c r="E78" s="695"/>
      <c r="F78" s="695"/>
      <c r="G78" s="695"/>
      <c r="H78" s="695"/>
      <c r="I78" s="695"/>
      <c r="J78" s="695"/>
      <c r="K78" s="696"/>
      <c r="L78" s="831" t="str">
        <f>IF(DescInt_RisparmioPercent&gt;0,IF(DescInt_RisparmioPercent&gt;0,TEXT(DescInt_RisparmioPercent,"0%")&amp;" a dedurre","Nessuna"),"")</f>
        <v/>
      </c>
      <c r="M78" s="832">
        <f>OC_RispEnerSecResid_Hide+N38</f>
        <v>0</v>
      </c>
      <c r="N78" s="830"/>
      <c r="O78" s="603"/>
    </row>
    <row r="79" s="763" customFormat="1" customHeight="1" spans="1:15">
      <c r="A79" s="782"/>
      <c r="B79" s="694" t="s">
        <v>34</v>
      </c>
      <c r="C79" s="695"/>
      <c r="D79" s="695"/>
      <c r="E79" s="695"/>
      <c r="F79" s="695"/>
      <c r="G79" s="695"/>
      <c r="H79" s="695"/>
      <c r="I79" s="695"/>
      <c r="J79" s="695"/>
      <c r="K79" s="696"/>
      <c r="L79" s="831" t="str">
        <f>IF(Oneri_Urb_Sec_Corrisposti&gt;0," a dedurre","")</f>
        <v/>
      </c>
      <c r="M79" s="832">
        <f>Oneri_Urb_Sec_Corrisposti</f>
        <v>0</v>
      </c>
      <c r="N79" s="830"/>
      <c r="O79" s="603"/>
    </row>
    <row r="80" s="763" customFormat="1" customHeight="1" spans="1:15">
      <c r="A80" s="782"/>
      <c r="B80" s="708" t="s">
        <v>39</v>
      </c>
      <c r="C80" s="709"/>
      <c r="D80" s="709"/>
      <c r="E80" s="709"/>
      <c r="F80" s="709"/>
      <c r="G80" s="709"/>
      <c r="H80" s="709"/>
      <c r="I80" s="709"/>
      <c r="J80" s="709"/>
      <c r="K80" s="710"/>
      <c r="L80" s="831"/>
      <c r="M80" s="832">
        <f>OpereUrbSecRealizzate</f>
        <v>0</v>
      </c>
      <c r="N80" s="830"/>
      <c r="O80" s="603"/>
    </row>
    <row r="81" s="763" customFormat="1" customHeight="1" spans="1:15">
      <c r="A81" s="782"/>
      <c r="B81" s="686" t="s">
        <v>36</v>
      </c>
      <c r="C81" s="687"/>
      <c r="D81" s="687"/>
      <c r="E81" s="687"/>
      <c r="F81" s="687"/>
      <c r="G81" s="687"/>
      <c r="H81" s="687"/>
      <c r="I81" s="687"/>
      <c r="J81" s="687"/>
      <c r="K81" s="688"/>
      <c r="L81" s="831"/>
      <c r="M81" s="846">
        <f>IF(Ou_SecDefiniti="No",-(Riepilogo_OneriUrbSecEsclusoSott+Riepilogo_OneriUrbSecCambioUso+Riepilogo_OneriUrbSecSott),0)</f>
        <v>0</v>
      </c>
      <c r="N81" s="830"/>
      <c r="O81" s="603"/>
    </row>
    <row r="82" s="763" customFormat="1" customHeight="1" spans="1:15">
      <c r="A82" s="782"/>
      <c r="B82" s="833" t="s">
        <v>37</v>
      </c>
      <c r="C82" s="834"/>
      <c r="D82" s="834"/>
      <c r="E82" s="834"/>
      <c r="F82" s="834"/>
      <c r="G82" s="834"/>
      <c r="H82" s="834"/>
      <c r="I82" s="834"/>
      <c r="J82" s="834"/>
      <c r="K82" s="847"/>
      <c r="L82" s="848">
        <f>IF(ImportoOneriUrb2+CC_AltriCosti_ValoreMaggOnRecSott-OnSec_RiduzionePianoCasa-OnSec_RiduzioneSostituzione-OnSec_RiduzioneDensificazione-OnSec_RiduzioneRispEnerg-CC_Oneri_Urb_Sec_Corrisposti-CC_OpereUrbSecRealizzate+CC_UrbSecScomputati&gt;0,ImportoOneriUrb2+CC_AltriCosti_ValoreMaggOnRecSott-OnSec_RiduzionePianoCasa-OnSec_RiduzioneSostituzione-OnSec_RiduzioneDensificazione-OnSec_RiduzioneRispEnerg-CC_Oneri_Urb_Sec_Corrisposti-CC_OpereUrbSecRealizzate+CC_UrbSecScomputati,0)</f>
        <v>0</v>
      </c>
      <c r="M82" s="849"/>
      <c r="N82" s="830"/>
      <c r="O82" s="603"/>
    </row>
    <row r="83" s="763" customFormat="1" customHeight="1" spans="1:15">
      <c r="A83" s="782"/>
      <c r="B83" s="808" t="s">
        <v>40</v>
      </c>
      <c r="C83" s="809"/>
      <c r="D83" s="809"/>
      <c r="E83" s="809"/>
      <c r="F83" s="809"/>
      <c r="G83" s="809"/>
      <c r="H83" s="809"/>
      <c r="I83" s="809"/>
      <c r="J83" s="809"/>
      <c r="K83" s="809"/>
      <c r="L83" s="852"/>
      <c r="M83" s="852"/>
      <c r="N83" s="830"/>
      <c r="O83" s="603"/>
    </row>
    <row r="84" s="763" customFormat="1" customHeight="1" spans="1:15">
      <c r="A84" s="782"/>
      <c r="B84" s="708" t="s">
        <v>72</v>
      </c>
      <c r="C84" s="709"/>
      <c r="D84" s="709"/>
      <c r="E84" s="709"/>
      <c r="F84" s="709"/>
      <c r="G84" s="709"/>
      <c r="H84" s="709"/>
      <c r="I84" s="709"/>
      <c r="J84" s="709"/>
      <c r="K84" s="710"/>
      <c r="L84" s="853"/>
      <c r="M84" s="832">
        <f>ROUND(SUM(L7,L11,L15,L19,L23,L27,L31,L35,L39,L43,L47,L51,L55,L59),2)</f>
        <v>0</v>
      </c>
      <c r="N84" s="830"/>
      <c r="O84" s="603"/>
    </row>
    <row r="85" s="763" customFormat="1" customHeight="1" spans="1:15">
      <c r="A85" s="782"/>
      <c r="B85" s="694" t="s">
        <v>34</v>
      </c>
      <c r="C85" s="695"/>
      <c r="D85" s="695"/>
      <c r="E85" s="695"/>
      <c r="F85" s="695"/>
      <c r="G85" s="695"/>
      <c r="H85" s="695"/>
      <c r="I85" s="695"/>
      <c r="J85" s="695"/>
      <c r="K85" s="696"/>
      <c r="L85" s="853"/>
      <c r="M85" s="832">
        <f>SmaltimRif_Corrisposti</f>
        <v>0</v>
      </c>
      <c r="N85" s="830"/>
      <c r="O85" s="603"/>
    </row>
    <row r="86" s="763" customFormat="1" customHeight="1" spans="1:15">
      <c r="A86" s="782"/>
      <c r="B86" s="833" t="s">
        <v>37</v>
      </c>
      <c r="C86" s="834"/>
      <c r="D86" s="834"/>
      <c r="E86" s="834"/>
      <c r="F86" s="834"/>
      <c r="G86" s="834"/>
      <c r="H86" s="834"/>
      <c r="I86" s="834"/>
      <c r="J86" s="834"/>
      <c r="K86" s="847"/>
      <c r="L86" s="848">
        <f>ROUND(ImportoOneriSmaltimentoRif-CC_SmaltimRif_Corrisposti,2)</f>
        <v>0</v>
      </c>
      <c r="M86" s="849"/>
      <c r="N86" s="830"/>
      <c r="O86" s="603"/>
    </row>
    <row r="87" s="763" customFormat="1" customHeight="1" spans="1:15">
      <c r="A87" s="782"/>
      <c r="B87" s="686"/>
      <c r="C87" s="687"/>
      <c r="D87" s="687"/>
      <c r="E87" s="687"/>
      <c r="F87" s="687"/>
      <c r="G87" s="687"/>
      <c r="H87" s="687"/>
      <c r="I87" s="687"/>
      <c r="J87" s="687"/>
      <c r="K87" s="687"/>
      <c r="L87" s="854"/>
      <c r="M87" s="854"/>
      <c r="N87" s="830"/>
      <c r="O87" s="603"/>
    </row>
    <row r="88" s="763" customFormat="1" ht="15" customHeight="1" spans="1:15">
      <c r="A88" s="782"/>
      <c r="B88" s="835" t="s">
        <v>75</v>
      </c>
      <c r="C88" s="215"/>
      <c r="D88" s="215"/>
      <c r="E88" s="215"/>
      <c r="F88" s="215"/>
      <c r="G88" s="215"/>
      <c r="H88" s="215"/>
      <c r="I88" s="215"/>
      <c r="J88" s="215"/>
      <c r="K88" s="855"/>
      <c r="L88" s="856">
        <f>ROUND(Cc_OneriUrbPrimariaRif+Cc_OneriUrbSecondariaRif+Cc_OneriSmaltRifiutiRif,2)</f>
        <v>0</v>
      </c>
      <c r="M88" s="856"/>
      <c r="N88" s="830"/>
      <c r="O88" s="603"/>
    </row>
    <row r="89" s="678" customFormat="1" customHeight="1" spans="1:15">
      <c r="A89" s="782"/>
      <c r="B89" s="806"/>
      <c r="C89" s="836"/>
      <c r="D89" s="837"/>
      <c r="E89" s="838"/>
      <c r="F89" s="837"/>
      <c r="G89" s="793"/>
      <c r="H89" s="793"/>
      <c r="I89" s="793"/>
      <c r="J89" s="793"/>
      <c r="K89" s="793"/>
      <c r="L89" s="793"/>
      <c r="M89" s="857"/>
      <c r="N89" s="823"/>
      <c r="O89" s="49"/>
    </row>
    <row r="90" s="760" customFormat="1" ht="15" customHeight="1" spans="1:15">
      <c r="A90" s="768"/>
      <c r="B90" s="839" t="s">
        <v>76</v>
      </c>
      <c r="C90" s="840"/>
      <c r="D90" s="840"/>
      <c r="E90" s="840"/>
      <c r="F90" s="840"/>
      <c r="G90" s="840"/>
      <c r="H90" s="840"/>
      <c r="I90" s="840"/>
      <c r="J90" s="840"/>
      <c r="K90" s="840"/>
      <c r="L90" s="840"/>
      <c r="M90" s="840"/>
      <c r="N90" s="858"/>
      <c r="O90" s="544"/>
    </row>
    <row r="91" s="761" customFormat="1" ht="15" customHeight="1" spans="1:15">
      <c r="A91" s="771"/>
      <c r="B91" s="841"/>
      <c r="C91" s="842"/>
      <c r="D91" s="843" t="s">
        <v>77</v>
      </c>
      <c r="E91" s="843"/>
      <c r="F91" s="843"/>
      <c r="G91" s="545"/>
      <c r="H91" s="843" t="s">
        <v>78</v>
      </c>
      <c r="I91" s="843"/>
      <c r="J91" s="843"/>
      <c r="K91" s="859"/>
      <c r="L91" s="771"/>
      <c r="M91" s="860"/>
      <c r="N91" s="861"/>
      <c r="O91" s="545"/>
    </row>
    <row r="92" s="762" customFormat="1" ht="20.1" customHeight="1" spans="1:15">
      <c r="A92" s="776"/>
      <c r="B92" s="777" t="str">
        <f>Parametri_DestUsoPersonalizzazione1&amp;IF(EdiliziaConvenzionata="No",""," edilizia conv.")</f>
        <v>Residenziale</v>
      </c>
      <c r="C92" s="778"/>
      <c r="D92" s="779">
        <f>Ou_UsoIniziale_Res_ParVirt</f>
        <v>0</v>
      </c>
      <c r="E92" s="780"/>
      <c r="F92" s="780"/>
      <c r="G92" s="781"/>
      <c r="H92" s="779">
        <f>Ou_NuovaEd_Res_ParVirt</f>
        <v>0</v>
      </c>
      <c r="I92" s="779"/>
      <c r="J92" s="779"/>
      <c r="K92" s="816"/>
      <c r="L92" s="798"/>
      <c r="M92" s="798"/>
      <c r="N92" s="817"/>
      <c r="O92" s="546"/>
    </row>
    <row r="93" s="763" customFormat="1" customHeight="1" spans="1:15">
      <c r="A93" s="782"/>
      <c r="B93" s="783" t="s">
        <v>69</v>
      </c>
      <c r="C93" s="784"/>
      <c r="D93" s="785">
        <f>IF(ISERROR(MATCH(ZonaTerritoriale,ElencoZone,0))=TRUE,0,INDEX(MatriceParametri,MATCH(ZonaTerritoriale,ElencoZone,0),IF(DatiGen_ResidenzialeClasseA="No",1,3)))</f>
        <v>3.8</v>
      </c>
      <c r="E93" s="786"/>
      <c r="F93" s="792">
        <f>PRODUCT(D92,D93)</f>
        <v>0</v>
      </c>
      <c r="G93" s="788"/>
      <c r="H93" s="785">
        <f>IF(ISERROR(MATCH(ZonaTerritoriale,ElencoZone,0))=TRUE,0,INDEX(MatriceParametri,MATCH(ZonaTerritoriale,ElencoZone,0),IF(DatiGen_ResidenzialeClasseA="No",1,3)))</f>
        <v>3.8</v>
      </c>
      <c r="I93" s="786"/>
      <c r="J93" s="792">
        <f>PRODUCT(H92,H93)</f>
        <v>0</v>
      </c>
      <c r="K93" s="822"/>
      <c r="L93" s="793"/>
      <c r="M93" s="793"/>
      <c r="N93" s="823"/>
      <c r="O93" s="603"/>
    </row>
    <row r="94" s="763" customFormat="1" customHeight="1" spans="1:15">
      <c r="A94" s="782"/>
      <c r="B94" s="789" t="s">
        <v>70</v>
      </c>
      <c r="C94" s="790"/>
      <c r="D94" s="791">
        <f>IF(ISERROR(MATCH(ZonaTerritoriale,ElencoZone,0))=TRUE,0,INDEX(MatriceParametri,MATCH(ZonaTerritoriale,ElencoZone,0)+1,IF(DatiGen_ResidenzialeClasseA="No",1,3)))</f>
        <v>11.4</v>
      </c>
      <c r="E94" s="786"/>
      <c r="F94" s="792">
        <f>PRODUCT(D92,D94)</f>
        <v>0</v>
      </c>
      <c r="G94" s="793"/>
      <c r="H94" s="791">
        <f>IF(ISERROR(MATCH(ZonaTerritoriale,ElencoZone,0))=TRUE,0,INDEX(MatriceParametri,MATCH(ZonaTerritoriale,ElencoZone,0)+1,IF(DatiGen_ResidenzialeClasseA="No",1,3)))</f>
        <v>11.4</v>
      </c>
      <c r="I94" s="786"/>
      <c r="J94" s="792">
        <f>PRODUCT(H92,H94)</f>
        <v>0</v>
      </c>
      <c r="K94" s="822"/>
      <c r="L94" s="793"/>
      <c r="M94" s="793"/>
      <c r="N94" s="823"/>
      <c r="O94" s="603"/>
    </row>
    <row r="95" s="763" customFormat="1" customHeight="1" spans="1:15">
      <c r="A95" s="782"/>
      <c r="B95" s="789" t="s">
        <v>71</v>
      </c>
      <c r="C95" s="790"/>
      <c r="D95" s="794">
        <f>IF(ISERROR(MATCH(ZonaTerritoriale,ElencoZone,0))=TRUE,0,INDEX(MatriceParametri,MATCH(ZonaTerritoriale,ElencoZone,0)+2,IF(DatiGen_ResidenzialeClasseA="No",1,3)))</f>
        <v>0</v>
      </c>
      <c r="E95" s="786"/>
      <c r="F95" s="792">
        <f>PRODUCT(D92,D95)</f>
        <v>0</v>
      </c>
      <c r="G95" s="793"/>
      <c r="H95" s="794">
        <f>IF(ISERROR(MATCH(ZonaTerritoriale,ElencoZone,0))=TRUE,0,INDEX(MatriceParametri,MATCH(ZonaTerritoriale,ElencoZone,0)+2,IF(DatiGen_ResidenzialeClasseA="No",1,3)))</f>
        <v>0</v>
      </c>
      <c r="I95" s="786"/>
      <c r="J95" s="792">
        <f>PRODUCT(H92,H95)</f>
        <v>0</v>
      </c>
      <c r="K95" s="822"/>
      <c r="L95" s="793"/>
      <c r="M95" s="793"/>
      <c r="N95" s="823"/>
      <c r="O95" s="603"/>
    </row>
    <row r="96" s="762" customFormat="1" ht="20.1" customHeight="1" spans="1:15">
      <c r="A96" s="776"/>
      <c r="B96" s="777" t="str">
        <f>Parametri_DestUsoPersonalizzazione2</f>
        <v>Commerciale direzionale</v>
      </c>
      <c r="C96" s="778"/>
      <c r="D96" s="795">
        <f>Ou_UsoIniziale_Com_ParVirt</f>
        <v>0</v>
      </c>
      <c r="E96" s="795"/>
      <c r="F96" s="795"/>
      <c r="G96" s="781"/>
      <c r="H96" s="795">
        <f>Ou_NuovaEd_Com_ParVirt</f>
        <v>0</v>
      </c>
      <c r="I96" s="795"/>
      <c r="J96" s="795"/>
      <c r="K96" s="824"/>
      <c r="L96" s="798"/>
      <c r="M96" s="798"/>
      <c r="N96" s="817"/>
      <c r="O96" s="546"/>
    </row>
    <row r="97" s="763" customFormat="1" customHeight="1" spans="1:15">
      <c r="A97" s="782"/>
      <c r="B97" s="783" t="s">
        <v>69</v>
      </c>
      <c r="C97" s="784"/>
      <c r="D97" s="794">
        <f>IF(ISERROR(MATCH(ZonaTerritoriale,ElencoZone,0))=TRUE,0,INDEX(MatriceParametri,MATCH(ZonaTerritoriale,ElencoZone,0),5))</f>
        <v>55.6</v>
      </c>
      <c r="E97" s="786"/>
      <c r="F97" s="792">
        <f>PRODUCT(D96,D97)</f>
        <v>0</v>
      </c>
      <c r="G97" s="788"/>
      <c r="H97" s="794">
        <f>IF(ISERROR(MATCH(ZonaTerritoriale,ElencoZone,0))=TRUE,0,INDEX(MatriceParametri,MATCH(ZonaTerritoriale,ElencoZone,0),5))</f>
        <v>55.6</v>
      </c>
      <c r="I97" s="786"/>
      <c r="J97" s="792">
        <f>PRODUCT(H96,H97)</f>
        <v>0</v>
      </c>
      <c r="K97" s="822"/>
      <c r="L97" s="793"/>
      <c r="M97" s="793"/>
      <c r="N97" s="823"/>
      <c r="O97" s="603"/>
    </row>
    <row r="98" s="763" customFormat="1" customHeight="1" spans="1:15">
      <c r="A98" s="782"/>
      <c r="B98" s="789" t="s">
        <v>70</v>
      </c>
      <c r="C98" s="790"/>
      <c r="D98" s="794">
        <f>IF(ISERROR(MATCH(ZonaTerritoriale,ElencoZone,0))=TRUE,0,INDEX(MatriceParametri,MATCH(ZonaTerritoriale,ElencoZone,0)+1,5))</f>
        <v>23.7</v>
      </c>
      <c r="E98" s="786"/>
      <c r="F98" s="792">
        <f>PRODUCT(D96,D98)</f>
        <v>0</v>
      </c>
      <c r="G98" s="793"/>
      <c r="H98" s="794">
        <f>IF(ISERROR(MATCH(ZonaTerritoriale,ElencoZone,0))=TRUE,0,INDEX(MatriceParametri,MATCH(ZonaTerritoriale,ElencoZone,0)+1,5))</f>
        <v>23.7</v>
      </c>
      <c r="I98" s="786"/>
      <c r="J98" s="792">
        <f>PRODUCT(H96,H98)</f>
        <v>0</v>
      </c>
      <c r="K98" s="822"/>
      <c r="L98" s="793"/>
      <c r="M98" s="793"/>
      <c r="N98" s="823"/>
      <c r="O98" s="603"/>
    </row>
    <row r="99" s="763" customFormat="1" customHeight="1" spans="1:15">
      <c r="A99" s="782"/>
      <c r="B99" s="789" t="s">
        <v>71</v>
      </c>
      <c r="C99" s="790"/>
      <c r="D99" s="794">
        <f>IF(ISERROR(MATCH(ZonaTerritoriale,ElencoZone,0))=TRUE,0,INDEX(MatriceParametri,MATCH(ZonaTerritoriale,ElencoZone,0)+2,5))</f>
        <v>0</v>
      </c>
      <c r="E99" s="786"/>
      <c r="F99" s="792">
        <f>PRODUCT(D96,D99)</f>
        <v>0</v>
      </c>
      <c r="G99" s="793"/>
      <c r="H99" s="794">
        <f>IF(ISERROR(MATCH(ZonaTerritoriale,ElencoZone,0))=TRUE,0,INDEX(MatriceParametri,MATCH(ZonaTerritoriale,ElencoZone,0)+2,5))</f>
        <v>0</v>
      </c>
      <c r="I99" s="786"/>
      <c r="J99" s="792">
        <f>PRODUCT(H96,H99)</f>
        <v>0</v>
      </c>
      <c r="K99" s="822"/>
      <c r="L99" s="793"/>
      <c r="M99" s="793"/>
      <c r="N99" s="823"/>
      <c r="O99" s="603"/>
    </row>
    <row r="100" s="762" customFormat="1" ht="20.1" customHeight="1" spans="1:15">
      <c r="A100" s="776"/>
      <c r="B100" s="777" t="str">
        <f>Parametri_DestUsoPersonalizzazione3</f>
        <v>Industria </v>
      </c>
      <c r="C100" s="778"/>
      <c r="D100" s="795">
        <f>Ou_UsoIniziale_IndArt_ParVirt</f>
        <v>0</v>
      </c>
      <c r="E100" s="795"/>
      <c r="F100" s="795"/>
      <c r="G100" s="781"/>
      <c r="H100" s="795">
        <f>Ou_NuovaEd_IndArt_ParVirt</f>
        <v>0</v>
      </c>
      <c r="I100" s="795"/>
      <c r="J100" s="795"/>
      <c r="K100" s="824"/>
      <c r="L100" s="798"/>
      <c r="M100" s="798"/>
      <c r="N100" s="817"/>
      <c r="O100" s="546"/>
    </row>
    <row r="101" s="763" customFormat="1" customHeight="1" spans="1:15">
      <c r="A101" s="782"/>
      <c r="B101" s="783" t="s">
        <v>69</v>
      </c>
      <c r="C101" s="784"/>
      <c r="D101" s="794">
        <f>IF(ISERROR(MATCH(ZonaTerritoriale,ElencoZone,0))=TRUE,0,INDEX(MatriceParametri,MATCH(ZonaTerritoriale,ElencoZone,0),7))</f>
        <v>18.25</v>
      </c>
      <c r="E101" s="786"/>
      <c r="F101" s="792">
        <f>PRODUCT(D100,D101)</f>
        <v>0</v>
      </c>
      <c r="G101" s="788"/>
      <c r="H101" s="794">
        <f>IF(ISERROR(MATCH(ZonaTerritoriale,ElencoZone,0))=TRUE,0,INDEX(MatriceParametri,MATCH(ZonaTerritoriale,ElencoZone,0),7))</f>
        <v>18.25</v>
      </c>
      <c r="I101" s="786"/>
      <c r="J101" s="792">
        <f>PRODUCT(H100,H101)</f>
        <v>0</v>
      </c>
      <c r="K101" s="822"/>
      <c r="L101" s="793"/>
      <c r="M101" s="862"/>
      <c r="N101" s="823"/>
      <c r="O101" s="603"/>
    </row>
    <row r="102" s="763" customFormat="1" customHeight="1" spans="1:15">
      <c r="A102" s="782"/>
      <c r="B102" s="789" t="s">
        <v>70</v>
      </c>
      <c r="C102" s="790"/>
      <c r="D102" s="794">
        <f>IF(ISERROR(MATCH(ZonaTerritoriale,ElencoZone,0))=TRUE,0,INDEX(MatriceParametri,MATCH(ZonaTerritoriale,ElencoZone,0)+1,7))</f>
        <v>10.5</v>
      </c>
      <c r="E102" s="786"/>
      <c r="F102" s="792">
        <f>PRODUCT(D100,D102)</f>
        <v>0</v>
      </c>
      <c r="G102" s="793"/>
      <c r="H102" s="794">
        <f>IF(ISERROR(MATCH(ZonaTerritoriale,ElencoZone,0))=TRUE,0,INDEX(MatriceParametri,MATCH(ZonaTerritoriale,ElencoZone,0)+1,7))</f>
        <v>10.5</v>
      </c>
      <c r="I102" s="786"/>
      <c r="J102" s="792">
        <f>PRODUCT(H100,H102)</f>
        <v>0</v>
      </c>
      <c r="K102" s="822"/>
      <c r="L102" s="793"/>
      <c r="M102" s="793"/>
      <c r="N102" s="823"/>
      <c r="O102" s="603"/>
    </row>
    <row r="103" s="763" customFormat="1" customHeight="1" spans="1:15">
      <c r="A103" s="782"/>
      <c r="B103" s="789" t="s">
        <v>71</v>
      </c>
      <c r="C103" s="790"/>
      <c r="D103" s="794">
        <f>IF(ISERROR(MATCH(ZonaTerritoriale,ElencoZone,0))=TRUE,0,INDEX(MatriceParametri,MATCH(ZonaTerritoriale,ElencoZone,0)+2,7))</f>
        <v>5.5</v>
      </c>
      <c r="E103" s="786"/>
      <c r="F103" s="792">
        <f>PRODUCT(D100,D103)</f>
        <v>0</v>
      </c>
      <c r="G103" s="793"/>
      <c r="H103" s="794">
        <f>IF(ISERROR(MATCH(ZonaTerritoriale,ElencoZone,0))=TRUE,0,INDEX(MatriceParametri,MATCH(ZonaTerritoriale,ElencoZone,0)+2,7))</f>
        <v>5.5</v>
      </c>
      <c r="I103" s="786"/>
      <c r="J103" s="792">
        <f>PRODUCT(H100,H103)</f>
        <v>0</v>
      </c>
      <c r="K103" s="822"/>
      <c r="L103" s="793"/>
      <c r="M103" s="793"/>
      <c r="N103" s="823"/>
      <c r="O103" s="603"/>
    </row>
    <row r="104" s="762" customFormat="1" ht="20.1" customHeight="1" spans="1:15">
      <c r="A104" s="776"/>
      <c r="B104" s="777" t="str">
        <f>Parametri_DestUsoPersonalizzazione4</f>
        <v>Industriale alberghiera </v>
      </c>
      <c r="C104" s="778"/>
      <c r="D104" s="795">
        <f>Ou_UsoIniziale_IndAlb_ParVirt</f>
        <v>0</v>
      </c>
      <c r="E104" s="795"/>
      <c r="F104" s="795"/>
      <c r="G104" s="781"/>
      <c r="H104" s="795">
        <f>Ou_NuovaEd_IndAlb_ParVirt</f>
        <v>0</v>
      </c>
      <c r="I104" s="795"/>
      <c r="J104" s="795"/>
      <c r="K104" s="824"/>
      <c r="L104" s="798"/>
      <c r="M104" s="798"/>
      <c r="N104" s="817"/>
      <c r="O104" s="546"/>
    </row>
    <row r="105" s="763" customFormat="1" customHeight="1" spans="1:15">
      <c r="A105" s="782"/>
      <c r="B105" s="783" t="s">
        <v>69</v>
      </c>
      <c r="C105" s="784"/>
      <c r="D105" s="794">
        <f>IF(ISERROR(MATCH(ZonaTerritoriale,ElencoZone,0))=TRUE,0,INDEX(MatriceParametri,MATCH(ZonaTerritoriale,ElencoZone,0),9))</f>
        <v>30.85</v>
      </c>
      <c r="E105" s="786"/>
      <c r="F105" s="792">
        <f>PRODUCT(D104,D105)</f>
        <v>0</v>
      </c>
      <c r="G105" s="788"/>
      <c r="H105" s="794">
        <f>IF(ISERROR(MATCH(ZonaTerritoriale,ElencoZone,0))=TRUE,0,INDEX(MatriceParametri,MATCH(ZonaTerritoriale,ElencoZone,0),9))</f>
        <v>30.85</v>
      </c>
      <c r="I105" s="786"/>
      <c r="J105" s="792">
        <f>PRODUCT(H104,H105)</f>
        <v>0</v>
      </c>
      <c r="K105" s="822"/>
      <c r="L105" s="793"/>
      <c r="M105" s="793"/>
      <c r="N105" s="823"/>
      <c r="O105" s="603"/>
    </row>
    <row r="106" s="763" customFormat="1" customHeight="1" spans="1:15">
      <c r="A106" s="782"/>
      <c r="B106" s="789" t="s">
        <v>70</v>
      </c>
      <c r="C106" s="790"/>
      <c r="D106" s="794">
        <f>IF(ISERROR(MATCH(ZonaTerritoriale,ElencoZone,0))=TRUE,0,INDEX(MatriceParametri,MATCH(ZonaTerritoriale,ElencoZone,0)+1,9))</f>
        <v>19.5</v>
      </c>
      <c r="E106" s="786"/>
      <c r="F106" s="792">
        <f>PRODUCT(D104,D106)</f>
        <v>0</v>
      </c>
      <c r="G106" s="793"/>
      <c r="H106" s="794">
        <f>IF(ISERROR(MATCH(ZonaTerritoriale,ElencoZone,0))=TRUE,0,INDEX(MatriceParametri,MATCH(ZonaTerritoriale,ElencoZone,0)+1,9))</f>
        <v>19.5</v>
      </c>
      <c r="I106" s="786"/>
      <c r="J106" s="792">
        <f>PRODUCT(H104,H106)</f>
        <v>0</v>
      </c>
      <c r="K106" s="822"/>
      <c r="L106" s="793"/>
      <c r="M106" s="863"/>
      <c r="N106" s="823"/>
      <c r="O106" s="603"/>
    </row>
    <row r="107" s="763" customFormat="1" customHeight="1" spans="1:15">
      <c r="A107" s="782"/>
      <c r="B107" s="789" t="s">
        <v>71</v>
      </c>
      <c r="C107" s="790"/>
      <c r="D107" s="794">
        <f>IF(ISERROR(MATCH(ZonaTerritoriale,ElencoZone,0))=TRUE,0,INDEX(MatriceParametri,MATCH(ZonaTerritoriale,ElencoZone,0)+2,9))</f>
        <v>0</v>
      </c>
      <c r="E107" s="786"/>
      <c r="F107" s="792">
        <f>PRODUCT(D104,D107)</f>
        <v>0</v>
      </c>
      <c r="G107" s="793"/>
      <c r="H107" s="794">
        <f>IF(ISERROR(MATCH(ZonaTerritoriale,ElencoZone,0))=TRUE,0,INDEX(MatriceParametri,MATCH(ZonaTerritoriale,ElencoZone,0)+2,9))</f>
        <v>0</v>
      </c>
      <c r="I107" s="786"/>
      <c r="J107" s="792">
        <f>PRODUCT(H104,H107)</f>
        <v>0</v>
      </c>
      <c r="K107" s="822"/>
      <c r="L107" s="793"/>
      <c r="M107" s="793"/>
      <c r="N107" s="823"/>
      <c r="O107" s="603"/>
    </row>
    <row r="108" s="762" customFormat="1" ht="20.1" customHeight="1" spans="1:15">
      <c r="A108" s="776"/>
      <c r="B108" s="796" t="str">
        <f>Parametri_DestUsoPersonalizzazione5</f>
        <v>Parcheggi, silos (posto auto)</v>
      </c>
      <c r="C108" s="797"/>
      <c r="D108" s="795">
        <f>Ou_UsoIniziale_ParSil_ParVirt</f>
        <v>0</v>
      </c>
      <c r="E108" s="795"/>
      <c r="F108" s="795"/>
      <c r="G108" s="798"/>
      <c r="H108" s="795">
        <f>Ou_NuovaEd_ParSil_ParVirt</f>
        <v>0</v>
      </c>
      <c r="I108" s="795"/>
      <c r="J108" s="795"/>
      <c r="K108" s="824"/>
      <c r="L108" s="798"/>
      <c r="M108" s="798"/>
      <c r="N108" s="817"/>
      <c r="O108" s="546"/>
    </row>
    <row r="109" s="764" customFormat="1" customHeight="1" spans="1:15">
      <c r="A109" s="782"/>
      <c r="B109" s="783" t="s">
        <v>69</v>
      </c>
      <c r="C109" s="784"/>
      <c r="D109" s="785">
        <f>IF(ISERROR(MATCH(ZonaTerritoriale,ElencoZone,0))=TRUE,0,INDEX(MatriceParametri,MATCH(ZonaTerritoriale,ElencoZone,0),11))</f>
        <v>222.75</v>
      </c>
      <c r="E109" s="786"/>
      <c r="F109" s="792">
        <f>PRODUCT(D108,D109)</f>
        <v>0</v>
      </c>
      <c r="G109" s="788"/>
      <c r="H109" s="785">
        <f>IF(ISERROR(MATCH(ZonaTerritoriale,ElencoZone,0))=TRUE,0,INDEX(MatriceParametri,MATCH(ZonaTerritoriale,ElencoZone,0),11))</f>
        <v>222.75</v>
      </c>
      <c r="I109" s="786"/>
      <c r="J109" s="792">
        <f>PRODUCT(H108,H109)</f>
        <v>0</v>
      </c>
      <c r="K109" s="822"/>
      <c r="L109" s="793"/>
      <c r="M109" s="863"/>
      <c r="N109" s="823"/>
      <c r="O109" s="28"/>
    </row>
    <row r="110" s="764" customFormat="1" customHeight="1" spans="1:15">
      <c r="A110" s="782"/>
      <c r="B110" s="789" t="s">
        <v>70</v>
      </c>
      <c r="C110" s="790"/>
      <c r="D110" s="791">
        <f>IF(ISERROR(MATCH(ZonaTerritoriale,ElencoZone,0))=TRUE,0,INDEX(MatriceParametri,MATCH(ZonaTerritoriale,ElencoZone,0)+1,11))</f>
        <v>101.05</v>
      </c>
      <c r="E110" s="786"/>
      <c r="F110" s="792">
        <f>PRODUCT(D108,D110)</f>
        <v>0</v>
      </c>
      <c r="G110" s="793"/>
      <c r="H110" s="791">
        <f>IF(ISERROR(MATCH(ZonaTerritoriale,ElencoZone,0))=TRUE,0,INDEX(MatriceParametri,MATCH(ZonaTerritoriale,ElencoZone,0)+1,11))</f>
        <v>101.05</v>
      </c>
      <c r="I110" s="786"/>
      <c r="J110" s="792">
        <f>PRODUCT(H108,H110)</f>
        <v>0</v>
      </c>
      <c r="K110" s="822"/>
      <c r="L110" s="793"/>
      <c r="M110" s="863"/>
      <c r="N110" s="823"/>
      <c r="O110" s="28"/>
    </row>
    <row r="111" s="763" customFormat="1" customHeight="1" spans="1:15">
      <c r="A111" s="782"/>
      <c r="B111" s="789" t="s">
        <v>71</v>
      </c>
      <c r="C111" s="790"/>
      <c r="D111" s="794">
        <f>IF(ISERROR(MATCH(ZonaTerritoriale,ElencoZone,0))=TRUE,0,INDEX(MatriceParametri,MATCH(ZonaTerritoriale,ElencoZone,0)+2,11))</f>
        <v>0</v>
      </c>
      <c r="E111" s="786"/>
      <c r="F111" s="792">
        <f>PRODUCT(D108,D111)</f>
        <v>0</v>
      </c>
      <c r="G111" s="793"/>
      <c r="H111" s="794">
        <f>IF(ISERROR(MATCH(ZonaTerritoriale,ElencoZone,0))=TRUE,0,INDEX(MatriceParametri,MATCH(ZonaTerritoriale,ElencoZone,0)+2,11))</f>
        <v>0</v>
      </c>
      <c r="I111" s="786"/>
      <c r="J111" s="792">
        <f>PRODUCT(H108,H111)</f>
        <v>0</v>
      </c>
      <c r="K111" s="822"/>
      <c r="L111" s="793"/>
      <c r="M111" s="793"/>
      <c r="N111" s="823"/>
      <c r="O111" s="603"/>
    </row>
    <row r="112" s="762" customFormat="1" ht="20.1" customHeight="1" spans="1:15">
      <c r="A112" s="776"/>
      <c r="B112" s="796" t="str">
        <f>Parametri_DestUsoPersonalizzazione6</f>
        <v>Attrezzature culturali e sanitarie</v>
      </c>
      <c r="C112" s="797"/>
      <c r="D112" s="795">
        <f>Ou_UsoIniziale_CultSan_ParVirt</f>
        <v>0</v>
      </c>
      <c r="E112" s="795"/>
      <c r="F112" s="795"/>
      <c r="G112" s="798"/>
      <c r="H112" s="795">
        <f>Ou_NuovaEd_CultSan_ParVirt</f>
        <v>0</v>
      </c>
      <c r="I112" s="795"/>
      <c r="J112" s="795"/>
      <c r="K112" s="824"/>
      <c r="L112" s="798"/>
      <c r="M112" s="798"/>
      <c r="N112" s="817"/>
      <c r="O112" s="546"/>
    </row>
    <row r="113" s="764" customFormat="1" customHeight="1" spans="1:15">
      <c r="A113" s="782"/>
      <c r="B113" s="783" t="s">
        <v>69</v>
      </c>
      <c r="C113" s="784"/>
      <c r="D113" s="785">
        <f>IF(ISERROR(MATCH(ZonaTerritoriale,ElencoZone,0))=TRUE,0,INDEX(MatriceParametri,MATCH(ZonaTerritoriale,ElencoZone,0),13))</f>
        <v>11.2</v>
      </c>
      <c r="E113" s="786"/>
      <c r="F113" s="792">
        <f>PRODUCT(D112,D113)</f>
        <v>0</v>
      </c>
      <c r="G113" s="788"/>
      <c r="H113" s="785">
        <f>IF(ISERROR(MATCH(ZonaTerritoriale,ElencoZone,0))=TRUE,0,INDEX(MatriceParametri,MATCH(ZonaTerritoriale,ElencoZone,0),13))</f>
        <v>11.2</v>
      </c>
      <c r="I113" s="786"/>
      <c r="J113" s="792">
        <f>PRODUCT(H112,H113)</f>
        <v>0</v>
      </c>
      <c r="K113" s="822"/>
      <c r="L113" s="793"/>
      <c r="M113" s="863"/>
      <c r="N113" s="823"/>
      <c r="O113" s="28"/>
    </row>
    <row r="114" s="764" customFormat="1" customHeight="1" spans="1:15">
      <c r="A114" s="782"/>
      <c r="B114" s="789" t="s">
        <v>70</v>
      </c>
      <c r="C114" s="790"/>
      <c r="D114" s="791">
        <f>IF(ISERROR(MATCH(ZonaTerritoriale,ElencoZone,0))=TRUE,0,INDEX(MatriceParametri,MATCH(ZonaTerritoriale,ElencoZone,0)+1,13))</f>
        <v>5.05</v>
      </c>
      <c r="E114" s="786"/>
      <c r="F114" s="792">
        <f>PRODUCT(D112,D114)</f>
        <v>0</v>
      </c>
      <c r="G114" s="793"/>
      <c r="H114" s="791">
        <f>IF(ISERROR(MATCH(ZonaTerritoriale,ElencoZone,0))=TRUE,0,INDEX(MatriceParametri,MATCH(ZonaTerritoriale,ElencoZone,0)+1,13))</f>
        <v>5.05</v>
      </c>
      <c r="I114" s="786"/>
      <c r="J114" s="792">
        <f>PRODUCT(H112,H114)</f>
        <v>0</v>
      </c>
      <c r="K114" s="822"/>
      <c r="L114" s="793"/>
      <c r="M114" s="863"/>
      <c r="N114" s="823"/>
      <c r="O114" s="28"/>
    </row>
    <row r="115" s="763" customFormat="1" customHeight="1" spans="1:15">
      <c r="A115" s="782"/>
      <c r="B115" s="789" t="s">
        <v>71</v>
      </c>
      <c r="C115" s="790"/>
      <c r="D115" s="794">
        <f>IF(ISERROR(MATCH(ZonaTerritoriale,ElencoZone,0))=TRUE,0,INDEX(MatriceParametri,MATCH(ZonaTerritoriale,ElencoZone,0)+2,13))</f>
        <v>0</v>
      </c>
      <c r="E115" s="786"/>
      <c r="F115" s="792">
        <f>PRODUCT(D112,D115)</f>
        <v>0</v>
      </c>
      <c r="G115" s="793"/>
      <c r="H115" s="794">
        <f>IF(ISERROR(MATCH(ZonaTerritoriale,ElencoZone,0))=TRUE,0,INDEX(MatriceParametri,MATCH(ZonaTerritoriale,ElencoZone,0)+2,13))</f>
        <v>0</v>
      </c>
      <c r="I115" s="786"/>
      <c r="J115" s="792">
        <f>PRODUCT(H112,H115)</f>
        <v>0</v>
      </c>
      <c r="K115" s="822"/>
      <c r="L115" s="793"/>
      <c r="M115" s="793"/>
      <c r="N115" s="823"/>
      <c r="O115" s="603"/>
    </row>
    <row r="116" s="762" customFormat="1" ht="20.1" customHeight="1" spans="1:15">
      <c r="A116" s="776"/>
      <c r="B116" s="796" t="str">
        <f>Parametri_DestUsoPersonalizzazione7</f>
        <v>Attrezzature sportive</v>
      </c>
      <c r="C116" s="797"/>
      <c r="D116" s="795">
        <f>Ou_UsoIniziale_AttSpor_ParVirt</f>
        <v>0</v>
      </c>
      <c r="E116" s="795"/>
      <c r="F116" s="795"/>
      <c r="G116" s="798"/>
      <c r="H116" s="795">
        <f>Ou_NuovaEd_AttSpor_ParVirt</f>
        <v>0</v>
      </c>
      <c r="I116" s="795"/>
      <c r="J116" s="795"/>
      <c r="K116" s="824"/>
      <c r="L116" s="798"/>
      <c r="M116" s="798"/>
      <c r="N116" s="817"/>
      <c r="O116" s="546"/>
    </row>
    <row r="117" s="764" customFormat="1" customHeight="1" spans="1:15">
      <c r="A117" s="782"/>
      <c r="B117" s="783" t="s">
        <v>69</v>
      </c>
      <c r="C117" s="784"/>
      <c r="D117" s="785">
        <f>IF(ISERROR(MATCH(ZonaTerritoriale,ElencoZone,0))=TRUE,0,INDEX(MatriceParametri,MATCH(ZonaTerritoriale,ElencoZone,0),15))</f>
        <v>5.65</v>
      </c>
      <c r="E117" s="786"/>
      <c r="F117" s="792">
        <f>PRODUCT(D116,D117)</f>
        <v>0</v>
      </c>
      <c r="G117" s="788"/>
      <c r="H117" s="785">
        <f>IF(ISERROR(MATCH(ZonaTerritoriale,ElencoZone,0))=TRUE,0,INDEX(MatriceParametri,MATCH(ZonaTerritoriale,ElencoZone,0),15))</f>
        <v>5.65</v>
      </c>
      <c r="I117" s="786"/>
      <c r="J117" s="792">
        <f>PRODUCT(H116,H117)</f>
        <v>0</v>
      </c>
      <c r="K117" s="822"/>
      <c r="L117" s="793"/>
      <c r="M117" s="863"/>
      <c r="N117" s="823"/>
      <c r="O117" s="28"/>
    </row>
    <row r="118" s="764" customFormat="1" customHeight="1" spans="1:15">
      <c r="A118" s="782"/>
      <c r="B118" s="789" t="s">
        <v>70</v>
      </c>
      <c r="C118" s="790"/>
      <c r="D118" s="791">
        <f>IF(ISERROR(MATCH(ZonaTerritoriale,ElencoZone,0))=TRUE,0,INDEX(MatriceParametri,MATCH(ZonaTerritoriale,ElencoZone,0)+1,15))</f>
        <v>2.75</v>
      </c>
      <c r="E118" s="786"/>
      <c r="F118" s="792">
        <f>PRODUCT(D116,D118)</f>
        <v>0</v>
      </c>
      <c r="G118" s="793"/>
      <c r="H118" s="791">
        <f>IF(ISERROR(MATCH(ZonaTerritoriale,ElencoZone,0))=TRUE,0,INDEX(MatriceParametri,MATCH(ZonaTerritoriale,ElencoZone,0)+1,15))</f>
        <v>2.75</v>
      </c>
      <c r="I118" s="786"/>
      <c r="J118" s="792">
        <f>PRODUCT(H116,H118)</f>
        <v>0</v>
      </c>
      <c r="K118" s="822"/>
      <c r="L118" s="793"/>
      <c r="M118" s="863"/>
      <c r="N118" s="823"/>
      <c r="O118" s="28"/>
    </row>
    <row r="119" s="763" customFormat="1" customHeight="1" spans="1:15">
      <c r="A119" s="782"/>
      <c r="B119" s="789" t="s">
        <v>71</v>
      </c>
      <c r="C119" s="790"/>
      <c r="D119" s="794">
        <f>IF(ISERROR(MATCH(ZonaTerritoriale,ElencoZone,0))=TRUE,0,INDEX(MatriceParametri,MATCH(ZonaTerritoriale,ElencoZone,0)+2,15))</f>
        <v>0</v>
      </c>
      <c r="E119" s="786"/>
      <c r="F119" s="792">
        <f>PRODUCT(D116,D119)</f>
        <v>0</v>
      </c>
      <c r="G119" s="793"/>
      <c r="H119" s="794">
        <f>IF(ISERROR(MATCH(ZonaTerritoriale,ElencoZone,0))=TRUE,0,INDEX(MatriceParametri,MATCH(ZonaTerritoriale,ElencoZone,0)+2,15))</f>
        <v>0</v>
      </c>
      <c r="I119" s="786"/>
      <c r="J119" s="792">
        <f>PRODUCT(H116,H119)</f>
        <v>0</v>
      </c>
      <c r="K119" s="822"/>
      <c r="L119" s="793"/>
      <c r="M119" s="793"/>
      <c r="N119" s="823"/>
      <c r="O119" s="603"/>
    </row>
    <row r="120" s="762" customFormat="1" ht="20.1" customHeight="1" spans="1:15">
      <c r="A120" s="776"/>
      <c r="B120" s="796" t="str">
        <f>Parametri_DestUsoPersonalizzazione8</f>
        <v>Attrezzature spettacolo</v>
      </c>
      <c r="C120" s="797"/>
      <c r="D120" s="795">
        <f>Ou_UsoIniziale_AttSpet_ParVirt</f>
        <v>0</v>
      </c>
      <c r="E120" s="795"/>
      <c r="F120" s="795"/>
      <c r="G120" s="798"/>
      <c r="H120" s="795">
        <f>Ou_NuovaEd_AttSpet_ParVirt</f>
        <v>0</v>
      </c>
      <c r="I120" s="795"/>
      <c r="J120" s="795"/>
      <c r="K120" s="824"/>
      <c r="L120" s="798"/>
      <c r="M120" s="798"/>
      <c r="N120" s="817"/>
      <c r="O120" s="546"/>
    </row>
    <row r="121" s="764" customFormat="1" customHeight="1" spans="1:15">
      <c r="A121" s="782"/>
      <c r="B121" s="783" t="s">
        <v>69</v>
      </c>
      <c r="C121" s="784"/>
      <c r="D121" s="785">
        <f>IF(ISERROR(MATCH(ZonaTerritoriale,ElencoZone,0))=TRUE,0,INDEX(MatriceParametri,MATCH(ZonaTerritoriale,ElencoZone,0),17))</f>
        <v>16.75</v>
      </c>
      <c r="E121" s="786"/>
      <c r="F121" s="792">
        <f>PRODUCT(D120,D121)</f>
        <v>0</v>
      </c>
      <c r="G121" s="788"/>
      <c r="H121" s="785">
        <f>IF(ISERROR(MATCH(ZonaTerritoriale,ElencoZone,0))=TRUE,0,INDEX(MatriceParametri,MATCH(ZonaTerritoriale,ElencoZone,0),17))</f>
        <v>16.75</v>
      </c>
      <c r="I121" s="786"/>
      <c r="J121" s="792">
        <f>PRODUCT(H120,H121)</f>
        <v>0</v>
      </c>
      <c r="K121" s="822"/>
      <c r="L121" s="793"/>
      <c r="M121" s="863"/>
      <c r="N121" s="823"/>
      <c r="O121" s="28"/>
    </row>
    <row r="122" s="764" customFormat="1" customHeight="1" spans="1:15">
      <c r="A122" s="782"/>
      <c r="B122" s="789" t="s">
        <v>70</v>
      </c>
      <c r="C122" s="790"/>
      <c r="D122" s="791">
        <f>IF(ISERROR(MATCH(ZonaTerritoriale,ElencoZone,0))=TRUE,0,INDEX(MatriceParametri,MATCH(ZonaTerritoriale,ElencoZone,0)+1,17))</f>
        <v>7.8</v>
      </c>
      <c r="E122" s="786"/>
      <c r="F122" s="792">
        <f>PRODUCT(D120,D122)</f>
        <v>0</v>
      </c>
      <c r="G122" s="793"/>
      <c r="H122" s="791">
        <f>IF(ISERROR(MATCH(ZonaTerritoriale,ElencoZone,0))=TRUE,0,INDEX(MatriceParametri,MATCH(ZonaTerritoriale,ElencoZone,0)+1,17))</f>
        <v>7.8</v>
      </c>
      <c r="I122" s="786"/>
      <c r="J122" s="792">
        <f>PRODUCT(H120,H122)</f>
        <v>0</v>
      </c>
      <c r="K122" s="822"/>
      <c r="L122" s="793"/>
      <c r="M122" s="863"/>
      <c r="N122" s="823"/>
      <c r="O122" s="28"/>
    </row>
    <row r="123" s="763" customFormat="1" customHeight="1" spans="1:15">
      <c r="A123" s="782"/>
      <c r="B123" s="789" t="s">
        <v>71</v>
      </c>
      <c r="C123" s="790"/>
      <c r="D123" s="794">
        <f>IF(ISERROR(MATCH(ZonaTerritoriale,ElencoZone,0))=TRUE,0,INDEX(MatriceParametri,MATCH(ZonaTerritoriale,ElencoZone,0)+2,17))</f>
        <v>0</v>
      </c>
      <c r="E123" s="786"/>
      <c r="F123" s="792">
        <f>PRODUCT(D120,D123)</f>
        <v>0</v>
      </c>
      <c r="G123" s="793"/>
      <c r="H123" s="794">
        <f>IF(ISERROR(MATCH(ZonaTerritoriale,ElencoZone,0))=TRUE,0,INDEX(MatriceParametri,MATCH(ZonaTerritoriale,ElencoZone,0)+2,17))</f>
        <v>0</v>
      </c>
      <c r="I123" s="786"/>
      <c r="J123" s="792">
        <f>PRODUCT(H120,H123)</f>
        <v>0</v>
      </c>
      <c r="K123" s="822"/>
      <c r="L123" s="793"/>
      <c r="M123" s="793"/>
      <c r="N123" s="823"/>
      <c r="O123" s="603"/>
    </row>
    <row r="124" s="762" customFormat="1" ht="20.1" customHeight="1" spans="1:15">
      <c r="A124" s="776"/>
      <c r="B124" s="796" t="str">
        <f>Parametri_DestUsoPersonalizzazione9</f>
        <v>Artigianato</v>
      </c>
      <c r="C124" s="797"/>
      <c r="D124" s="795">
        <f>Ou_UsoIniziale_Person1_ParVirt</f>
        <v>0</v>
      </c>
      <c r="E124" s="795"/>
      <c r="F124" s="795"/>
      <c r="G124" s="798"/>
      <c r="H124" s="795">
        <f>Ou_NuovaEd_Person1_ParVirt</f>
        <v>0</v>
      </c>
      <c r="I124" s="795"/>
      <c r="J124" s="795"/>
      <c r="K124" s="824"/>
      <c r="L124" s="798"/>
      <c r="M124" s="798"/>
      <c r="N124" s="817"/>
      <c r="O124" s="546"/>
    </row>
    <row r="125" s="764" customFormat="1" customHeight="1" spans="1:15">
      <c r="A125" s="782"/>
      <c r="B125" s="783" t="s">
        <v>69</v>
      </c>
      <c r="C125" s="784"/>
      <c r="D125" s="785">
        <f>IF(ISERROR(MATCH(ZonaTerritoriale,ElencoZone,0))=TRUE,0,INDEX(MatriceParametri,MATCH(ZonaTerritoriale,ElencoZone,0),19))</f>
        <v>18.25</v>
      </c>
      <c r="E125" s="786"/>
      <c r="F125" s="792">
        <f>PRODUCT(D124,D125)</f>
        <v>0</v>
      </c>
      <c r="G125" s="788"/>
      <c r="H125" s="785">
        <f>IF(ISERROR(MATCH(ZonaTerritoriale,ElencoZone,0))=TRUE,0,INDEX(MatriceParametri,MATCH(ZonaTerritoriale,ElencoZone,0),19))</f>
        <v>18.25</v>
      </c>
      <c r="I125" s="786"/>
      <c r="J125" s="792">
        <f>PRODUCT(H124,H125)</f>
        <v>0</v>
      </c>
      <c r="K125" s="822"/>
      <c r="L125" s="793"/>
      <c r="M125" s="863"/>
      <c r="N125" s="823"/>
      <c r="O125" s="28"/>
    </row>
    <row r="126" s="764" customFormat="1" customHeight="1" spans="1:15">
      <c r="A126" s="782"/>
      <c r="B126" s="789" t="s">
        <v>70</v>
      </c>
      <c r="C126" s="790"/>
      <c r="D126" s="791">
        <f>IF(ISERROR(MATCH(ZonaTerritoriale,ElencoZone,0))=TRUE,0,INDEX(MatriceParametri,MATCH(ZonaTerritoriale,ElencoZone,0)+1,19))</f>
        <v>10.5</v>
      </c>
      <c r="E126" s="786"/>
      <c r="F126" s="792">
        <f>PRODUCT(D124,D126)</f>
        <v>0</v>
      </c>
      <c r="G126" s="793"/>
      <c r="H126" s="791">
        <f>IF(ISERROR(MATCH(ZonaTerritoriale,ElencoZone,0))=TRUE,0,INDEX(MatriceParametri,MATCH(ZonaTerritoriale,ElencoZone,0)+1,19))</f>
        <v>10.5</v>
      </c>
      <c r="I126" s="786"/>
      <c r="J126" s="792">
        <f>PRODUCT(H124,H126)</f>
        <v>0</v>
      </c>
      <c r="K126" s="822"/>
      <c r="L126" s="793"/>
      <c r="M126" s="863"/>
      <c r="N126" s="823"/>
      <c r="O126" s="28"/>
    </row>
    <row r="127" s="763" customFormat="1" customHeight="1" spans="1:15">
      <c r="A127" s="782"/>
      <c r="B127" s="789" t="s">
        <v>71</v>
      </c>
      <c r="C127" s="790"/>
      <c r="D127" s="794">
        <f>IF(ISERROR(MATCH(ZonaTerritoriale,ElencoZone,0))=TRUE,0,INDEX(MatriceParametri,MATCH(ZonaTerritoriale,ElencoZone,0)+2,19))</f>
        <v>5.5</v>
      </c>
      <c r="E127" s="786"/>
      <c r="F127" s="792">
        <f>PRODUCT(D124,D127)</f>
        <v>0</v>
      </c>
      <c r="G127" s="793"/>
      <c r="H127" s="794">
        <f>IF(ISERROR(MATCH(ZonaTerritoriale,ElencoZone,0))=TRUE,0,INDEX(MatriceParametri,MATCH(ZonaTerritoriale,ElencoZone,0)+2,19))</f>
        <v>5.5</v>
      </c>
      <c r="I127" s="786"/>
      <c r="J127" s="792">
        <f>PRODUCT(H124,H127)</f>
        <v>0</v>
      </c>
      <c r="K127" s="822"/>
      <c r="L127" s="793"/>
      <c r="M127" s="793"/>
      <c r="N127" s="823"/>
      <c r="O127" s="603"/>
    </row>
    <row r="128" s="762" customFormat="1" ht="20.1" customHeight="1" spans="1:15">
      <c r="A128" s="776"/>
      <c r="B128" s="796" t="str">
        <f>Parametri_DestUsoPersonalizzazione10</f>
        <v>Campeggi (€/utente)</v>
      </c>
      <c r="C128" s="797"/>
      <c r="D128" s="795">
        <f>Ou_UsoIniziale_Person2_ParVirt</f>
        <v>0</v>
      </c>
      <c r="E128" s="795"/>
      <c r="F128" s="795"/>
      <c r="G128" s="798"/>
      <c r="H128" s="795">
        <f>Ou_NuovaEd_Person2_ParVirt</f>
        <v>0</v>
      </c>
      <c r="I128" s="795"/>
      <c r="J128" s="795"/>
      <c r="K128" s="824"/>
      <c r="L128" s="798"/>
      <c r="M128" s="798"/>
      <c r="N128" s="817"/>
      <c r="O128" s="546"/>
    </row>
    <row r="129" s="764" customFormat="1" customHeight="1" spans="1:15">
      <c r="A129" s="782"/>
      <c r="B129" s="783" t="s">
        <v>69</v>
      </c>
      <c r="C129" s="784"/>
      <c r="D129" s="785">
        <f>IF(ISERROR(MATCH(ZonaTerritoriale,ElencoZone,0))=TRUE,0,INDEX(MatriceParametri,MATCH(ZonaTerritoriale,ElencoZone,0),21))</f>
        <v>301.05</v>
      </c>
      <c r="E129" s="786"/>
      <c r="F129" s="792">
        <f>PRODUCT(D128,D129)</f>
        <v>0</v>
      </c>
      <c r="G129" s="788"/>
      <c r="H129" s="785">
        <f>IF(ISERROR(MATCH(ZonaTerritoriale,ElencoZone,0))=TRUE,0,INDEX(MatriceParametri,MATCH(ZonaTerritoriale,ElencoZone,0),21))</f>
        <v>301.05</v>
      </c>
      <c r="I129" s="786"/>
      <c r="J129" s="792">
        <f>PRODUCT(H128,H129)</f>
        <v>0</v>
      </c>
      <c r="K129" s="822"/>
      <c r="L129" s="793"/>
      <c r="M129" s="863"/>
      <c r="N129" s="823"/>
      <c r="O129" s="28"/>
    </row>
    <row r="130" s="764" customFormat="1" customHeight="1" spans="1:15">
      <c r="A130" s="782"/>
      <c r="B130" s="789" t="s">
        <v>70</v>
      </c>
      <c r="C130" s="790"/>
      <c r="D130" s="791">
        <f>IF(ISERROR(MATCH(ZonaTerritoriale,ElencoZone,0))=TRUE,0,INDEX(MatriceParametri,MATCH(ZonaTerritoriale,ElencoZone,0)+1,21))</f>
        <v>205.2</v>
      </c>
      <c r="E130" s="786"/>
      <c r="F130" s="792">
        <f>PRODUCT(D128,D130)</f>
        <v>0</v>
      </c>
      <c r="G130" s="793"/>
      <c r="H130" s="791">
        <f>IF(ISERROR(MATCH(ZonaTerritoriale,ElencoZone,0))=TRUE,0,INDEX(MatriceParametri,MATCH(ZonaTerritoriale,ElencoZone,0)+1,21))</f>
        <v>205.2</v>
      </c>
      <c r="I130" s="786"/>
      <c r="J130" s="792">
        <f>PRODUCT(H128,H130)</f>
        <v>0</v>
      </c>
      <c r="K130" s="822"/>
      <c r="L130" s="793"/>
      <c r="M130" s="863"/>
      <c r="N130" s="823"/>
      <c r="O130" s="28"/>
    </row>
    <row r="131" s="763" customFormat="1" customHeight="1" spans="1:15">
      <c r="A131" s="782"/>
      <c r="B131" s="789" t="s">
        <v>71</v>
      </c>
      <c r="C131" s="790"/>
      <c r="D131" s="794">
        <f>IF(ISERROR(MATCH(ZonaTerritoriale,ElencoZone,0))=TRUE,0,INDEX(MatriceParametri,MATCH(ZonaTerritoriale,ElencoZone,0)+2,21))</f>
        <v>0</v>
      </c>
      <c r="E131" s="786"/>
      <c r="F131" s="792">
        <f>PRODUCT(D128,D131)</f>
        <v>0</v>
      </c>
      <c r="G131" s="793"/>
      <c r="H131" s="794">
        <f>IF(ISERROR(MATCH(ZonaTerritoriale,ElencoZone,0))=TRUE,0,INDEX(MatriceParametri,MATCH(ZonaTerritoriale,ElencoZone,0)+2,21))</f>
        <v>0</v>
      </c>
      <c r="I131" s="786"/>
      <c r="J131" s="792">
        <f>PRODUCT(H128,H131)</f>
        <v>0</v>
      </c>
      <c r="K131" s="822"/>
      <c r="L131" s="793"/>
      <c r="M131" s="793"/>
      <c r="N131" s="823"/>
      <c r="O131" s="603"/>
    </row>
    <row r="132" s="762" customFormat="1" ht="20.1" hidden="1" customHeight="1" spans="1:15">
      <c r="A132" s="776"/>
      <c r="B132" s="796" t="str">
        <f>Parametri_DestUsoPersonalizzazione11</f>
        <v>Destinazione ulteriore 3</v>
      </c>
      <c r="C132" s="797"/>
      <c r="D132" s="795">
        <f>Ou_UsoIniziale_Person3_ParVirt</f>
        <v>0</v>
      </c>
      <c r="E132" s="795"/>
      <c r="F132" s="795"/>
      <c r="G132" s="798"/>
      <c r="H132" s="795">
        <f>Ou_NuovaEd_Person3_ParVirt</f>
        <v>0</v>
      </c>
      <c r="I132" s="795"/>
      <c r="J132" s="795"/>
      <c r="K132" s="824"/>
      <c r="L132" s="798"/>
      <c r="M132" s="798"/>
      <c r="N132" s="817"/>
      <c r="O132" s="546"/>
    </row>
    <row r="133" s="764" customFormat="1" hidden="1" customHeight="1" spans="1:15">
      <c r="A133" s="782"/>
      <c r="B133" s="783" t="s">
        <v>69</v>
      </c>
      <c r="C133" s="784"/>
      <c r="D133" s="785">
        <f>IF(ISERROR(MATCH(ZonaTerritoriale,ElencoZone,0))=TRUE,0,INDEX(MatriceParametri,MATCH(ZonaTerritoriale,ElencoZone,0),23))</f>
        <v>0</v>
      </c>
      <c r="E133" s="786"/>
      <c r="F133" s="792">
        <f>PRODUCT(D132,D133)</f>
        <v>0</v>
      </c>
      <c r="G133" s="788"/>
      <c r="H133" s="785">
        <f>IF(ISERROR(MATCH(ZonaTerritoriale,ElencoZone,0))=TRUE,0,INDEX(MatriceParametri,MATCH(ZonaTerritoriale,ElencoZone,0),23))</f>
        <v>0</v>
      </c>
      <c r="I133" s="786"/>
      <c r="J133" s="792">
        <f>PRODUCT(H132,H133)</f>
        <v>0</v>
      </c>
      <c r="K133" s="822"/>
      <c r="L133" s="793"/>
      <c r="M133" s="863"/>
      <c r="N133" s="823"/>
      <c r="O133" s="28"/>
    </row>
    <row r="134" s="764" customFormat="1" hidden="1" customHeight="1" spans="1:15">
      <c r="A134" s="782"/>
      <c r="B134" s="789" t="s">
        <v>70</v>
      </c>
      <c r="C134" s="790"/>
      <c r="D134" s="791">
        <f>IF(ISERROR(MATCH(ZonaTerritoriale,ElencoZone,0))=TRUE,0,INDEX(MatriceParametri,MATCH(ZonaTerritoriale,ElencoZone,0)+1,23))</f>
        <v>0</v>
      </c>
      <c r="E134" s="786"/>
      <c r="F134" s="792">
        <f>PRODUCT(D132,D134)</f>
        <v>0</v>
      </c>
      <c r="G134" s="793"/>
      <c r="H134" s="791">
        <f>IF(ISERROR(MATCH(ZonaTerritoriale,ElencoZone,0))=TRUE,0,INDEX(MatriceParametri,MATCH(ZonaTerritoriale,ElencoZone,0)+1,23))</f>
        <v>0</v>
      </c>
      <c r="I134" s="786"/>
      <c r="J134" s="792">
        <f>PRODUCT(H132,H134)</f>
        <v>0</v>
      </c>
      <c r="K134" s="822"/>
      <c r="L134" s="793"/>
      <c r="M134" s="863"/>
      <c r="N134" s="823"/>
      <c r="O134" s="28"/>
    </row>
    <row r="135" s="763" customFormat="1" hidden="1" customHeight="1" spans="1:15">
      <c r="A135" s="782"/>
      <c r="B135" s="789" t="s">
        <v>71</v>
      </c>
      <c r="C135" s="790"/>
      <c r="D135" s="794">
        <f>IF(ISERROR(MATCH(ZonaTerritoriale,ElencoZone,0))=TRUE,0,INDEX(MatriceParametri,MATCH(ZonaTerritoriale,ElencoZone,0)+2,23))</f>
        <v>0</v>
      </c>
      <c r="E135" s="786"/>
      <c r="F135" s="792">
        <f>PRODUCT(D132,D135)</f>
        <v>0</v>
      </c>
      <c r="G135" s="793"/>
      <c r="H135" s="794">
        <f>IF(ISERROR(MATCH(ZonaTerritoriale,ElencoZone,0))=TRUE,0,INDEX(MatriceParametri,MATCH(ZonaTerritoriale,ElencoZone,0)+2,23))</f>
        <v>0</v>
      </c>
      <c r="I135" s="786"/>
      <c r="J135" s="792">
        <f>PRODUCT(H132,H135)</f>
        <v>0</v>
      </c>
      <c r="K135" s="822"/>
      <c r="L135" s="793"/>
      <c r="M135" s="793"/>
      <c r="N135" s="823"/>
      <c r="O135" s="603"/>
    </row>
    <row r="136" s="762" customFormat="1" ht="20.1" hidden="1" customHeight="1" spans="1:15">
      <c r="A136" s="776"/>
      <c r="B136" s="796" t="str">
        <f>Parametri_DestUsoPersonalizzazione12</f>
        <v>Destinazione ulteriore 4</v>
      </c>
      <c r="C136" s="797"/>
      <c r="D136" s="795">
        <f>Ou_UsoIniziale_Person4_ParVirt</f>
        <v>0</v>
      </c>
      <c r="E136" s="795"/>
      <c r="F136" s="795"/>
      <c r="G136" s="798"/>
      <c r="H136" s="795">
        <f>Ou_NuovaEd_Person4_ParVirt</f>
        <v>0</v>
      </c>
      <c r="I136" s="795"/>
      <c r="J136" s="795"/>
      <c r="K136" s="824"/>
      <c r="L136" s="798"/>
      <c r="M136" s="798"/>
      <c r="N136" s="817"/>
      <c r="O136" s="546"/>
    </row>
    <row r="137" s="764" customFormat="1" hidden="1" customHeight="1" spans="1:15">
      <c r="A137" s="782"/>
      <c r="B137" s="783" t="s">
        <v>69</v>
      </c>
      <c r="C137" s="784"/>
      <c r="D137" s="785">
        <f>IF(ISERROR(MATCH(ZonaTerritoriale,ElencoZone,0))=TRUE,0,INDEX(MatriceParametri,MATCH(ZonaTerritoriale,ElencoZone,0),25))</f>
        <v>0</v>
      </c>
      <c r="E137" s="786"/>
      <c r="F137" s="792">
        <f>PRODUCT(D136,D137)</f>
        <v>0</v>
      </c>
      <c r="G137" s="788"/>
      <c r="H137" s="785">
        <f>IF(ISERROR(MATCH(ZonaTerritoriale,ElencoZone,0))=TRUE,0,INDEX(MatriceParametri,MATCH(ZonaTerritoriale,ElencoZone,0),25))</f>
        <v>0</v>
      </c>
      <c r="I137" s="786"/>
      <c r="J137" s="792">
        <f>PRODUCT(H136,H137)</f>
        <v>0</v>
      </c>
      <c r="K137" s="822"/>
      <c r="L137" s="793"/>
      <c r="M137" s="863"/>
      <c r="N137" s="823"/>
      <c r="O137" s="28"/>
    </row>
    <row r="138" s="764" customFormat="1" hidden="1" customHeight="1" spans="1:15">
      <c r="A138" s="782"/>
      <c r="B138" s="789" t="s">
        <v>70</v>
      </c>
      <c r="C138" s="790"/>
      <c r="D138" s="791">
        <f>IF(ISERROR(MATCH(ZonaTerritoriale,ElencoZone,0))=TRUE,0,INDEX(MatriceParametri,MATCH(ZonaTerritoriale,ElencoZone,0)+1,25))</f>
        <v>0</v>
      </c>
      <c r="E138" s="786"/>
      <c r="F138" s="792">
        <f>PRODUCT(D136,D138)</f>
        <v>0</v>
      </c>
      <c r="G138" s="793"/>
      <c r="H138" s="791">
        <f>IF(ISERROR(MATCH(ZonaTerritoriale,ElencoZone,0))=TRUE,0,INDEX(MatriceParametri,MATCH(ZonaTerritoriale,ElencoZone,0)+1,25))</f>
        <v>0</v>
      </c>
      <c r="I138" s="786"/>
      <c r="J138" s="792">
        <f>PRODUCT(H136,H138)</f>
        <v>0</v>
      </c>
      <c r="K138" s="822"/>
      <c r="L138" s="793"/>
      <c r="M138" s="863"/>
      <c r="N138" s="823"/>
      <c r="O138" s="28"/>
    </row>
    <row r="139" s="763" customFormat="1" hidden="1" customHeight="1" spans="1:15">
      <c r="A139" s="782"/>
      <c r="B139" s="789" t="s">
        <v>71</v>
      </c>
      <c r="C139" s="790"/>
      <c r="D139" s="794">
        <f>IF(ISERROR(MATCH(ZonaTerritoriale,ElencoZone,0))=TRUE,0,INDEX(MatriceParametri,MATCH(ZonaTerritoriale,ElencoZone,0)+2,25))</f>
        <v>0</v>
      </c>
      <c r="E139" s="786"/>
      <c r="F139" s="792">
        <f>PRODUCT(D136,D139)</f>
        <v>0</v>
      </c>
      <c r="G139" s="793"/>
      <c r="H139" s="794">
        <f>IF(ISERROR(MATCH(ZonaTerritoriale,ElencoZone,0))=TRUE,0,INDEX(MatriceParametri,MATCH(ZonaTerritoriale,ElencoZone,0)+2,25))</f>
        <v>0</v>
      </c>
      <c r="I139" s="786"/>
      <c r="J139" s="792">
        <f>PRODUCT(H136,H139)</f>
        <v>0</v>
      </c>
      <c r="K139" s="822"/>
      <c r="L139" s="793"/>
      <c r="M139" s="793"/>
      <c r="N139" s="823"/>
      <c r="O139" s="603"/>
    </row>
    <row r="140" s="762" customFormat="1" ht="20.1" hidden="1" customHeight="1" spans="1:15">
      <c r="A140" s="776"/>
      <c r="B140" s="796" t="str">
        <f>Parametri_DestUsoPersonalizzazione13</f>
        <v>Destinazione ulteriore 5</v>
      </c>
      <c r="C140" s="797"/>
      <c r="D140" s="795">
        <f>Ou_UsoIniziale_Person5_ParVirt</f>
        <v>0</v>
      </c>
      <c r="E140" s="795"/>
      <c r="F140" s="795"/>
      <c r="G140" s="798"/>
      <c r="H140" s="795">
        <f>Ou_NuovaEd_Person5_ParVirt</f>
        <v>0</v>
      </c>
      <c r="I140" s="795"/>
      <c r="J140" s="795"/>
      <c r="K140" s="824"/>
      <c r="L140" s="798"/>
      <c r="M140" s="798"/>
      <c r="N140" s="817"/>
      <c r="O140" s="546"/>
    </row>
    <row r="141" s="764" customFormat="1" hidden="1" customHeight="1" spans="1:15">
      <c r="A141" s="782"/>
      <c r="B141" s="783" t="s">
        <v>69</v>
      </c>
      <c r="C141" s="784"/>
      <c r="D141" s="785">
        <f>IF(ISERROR(MATCH(ZonaTerritoriale,ElencoZone,0))=TRUE,0,INDEX(MatriceParametri,MATCH(ZonaTerritoriale,ElencoZone,0),27))</f>
        <v>0</v>
      </c>
      <c r="E141" s="786"/>
      <c r="F141" s="792">
        <f>PRODUCT(D140,D141)</f>
        <v>0</v>
      </c>
      <c r="G141" s="788"/>
      <c r="H141" s="785">
        <f>IF(ISERROR(MATCH(ZonaTerritoriale,ElencoZone,0))=TRUE,0,INDEX(MatriceParametri,MATCH(ZonaTerritoriale,ElencoZone,0),27))</f>
        <v>0</v>
      </c>
      <c r="I141" s="786"/>
      <c r="J141" s="792">
        <f>PRODUCT(H140,H141)</f>
        <v>0</v>
      </c>
      <c r="K141" s="822"/>
      <c r="L141" s="793"/>
      <c r="M141" s="863"/>
      <c r="N141" s="823"/>
      <c r="O141" s="28"/>
    </row>
    <row r="142" s="764" customFormat="1" hidden="1" customHeight="1" spans="1:15">
      <c r="A142" s="782"/>
      <c r="B142" s="789" t="s">
        <v>70</v>
      </c>
      <c r="C142" s="790"/>
      <c r="D142" s="791">
        <f>IF(ISERROR(MATCH(ZonaTerritoriale,ElencoZone,0))=TRUE,0,INDEX(MatriceParametri,MATCH(ZonaTerritoriale,ElencoZone,0)+1,27))</f>
        <v>0</v>
      </c>
      <c r="E142" s="786"/>
      <c r="F142" s="792">
        <f>PRODUCT(D140,D142)</f>
        <v>0</v>
      </c>
      <c r="G142" s="793"/>
      <c r="H142" s="791">
        <f>IF(ISERROR(MATCH(ZonaTerritoriale,ElencoZone,0))=TRUE,0,INDEX(MatriceParametri,MATCH(ZonaTerritoriale,ElencoZone,0)+1,27))</f>
        <v>0</v>
      </c>
      <c r="I142" s="786"/>
      <c r="J142" s="792">
        <f>PRODUCT(H140,H142)</f>
        <v>0</v>
      </c>
      <c r="K142" s="822"/>
      <c r="L142" s="793"/>
      <c r="M142" s="863"/>
      <c r="N142" s="823"/>
      <c r="O142" s="28"/>
    </row>
    <row r="143" s="763" customFormat="1" hidden="1" customHeight="1" spans="1:15">
      <c r="A143" s="782"/>
      <c r="B143" s="789" t="s">
        <v>71</v>
      </c>
      <c r="C143" s="790"/>
      <c r="D143" s="794">
        <f>IF(ISERROR(MATCH(ZonaTerritoriale,ElencoZone,0))=TRUE,0,INDEX(MatriceParametri,MATCH(ZonaTerritoriale,ElencoZone,0)+2,27))</f>
        <v>0</v>
      </c>
      <c r="E143" s="786"/>
      <c r="F143" s="792">
        <f>PRODUCT(D140,D143)</f>
        <v>0</v>
      </c>
      <c r="G143" s="793"/>
      <c r="H143" s="794">
        <f>IF(ISERROR(MATCH(ZonaTerritoriale,ElencoZone,0))=TRUE,0,INDEX(MatriceParametri,MATCH(ZonaTerritoriale,ElencoZone,0)+2,27))</f>
        <v>0</v>
      </c>
      <c r="I143" s="786"/>
      <c r="J143" s="792">
        <f>PRODUCT(H140,H143)</f>
        <v>0</v>
      </c>
      <c r="K143" s="822"/>
      <c r="L143" s="793"/>
      <c r="M143" s="793"/>
      <c r="N143" s="823"/>
      <c r="O143" s="603"/>
    </row>
    <row r="144" s="764" customFormat="1" ht="16.5" customHeight="1" spans="1:15">
      <c r="A144" s="782"/>
      <c r="B144" s="806"/>
      <c r="C144" s="864" t="s">
        <v>79</v>
      </c>
      <c r="D144" s="864"/>
      <c r="E144" s="864"/>
      <c r="F144" s="864"/>
      <c r="G144" s="864" t="s">
        <v>80</v>
      </c>
      <c r="H144" s="864"/>
      <c r="I144" s="864"/>
      <c r="J144" s="864"/>
      <c r="K144" s="911"/>
      <c r="L144" s="911"/>
      <c r="M144" s="863"/>
      <c r="N144" s="823"/>
      <c r="O144" s="28"/>
    </row>
    <row r="145" s="764" customFormat="1" customHeight="1" spans="1:15">
      <c r="A145" s="782"/>
      <c r="B145" s="806"/>
      <c r="C145" s="865"/>
      <c r="D145" s="803" t="s">
        <v>69</v>
      </c>
      <c r="E145" s="790"/>
      <c r="F145" s="792">
        <f>ROUND(F93+F97+F101+F105+F109+F113+F117+F121+F125+F129+F133+F137+F141,2)</f>
        <v>0</v>
      </c>
      <c r="G145" s="793"/>
      <c r="H145" s="803" t="s">
        <v>69</v>
      </c>
      <c r="I145" s="790"/>
      <c r="J145" s="792">
        <f>ROUND(J93+J97+J101+J105+J109+J113+J117+J121+J125+J129+J133+J137+J141,2)</f>
        <v>0</v>
      </c>
      <c r="K145" s="822"/>
      <c r="L145" s="793"/>
      <c r="M145" s="793"/>
      <c r="N145" s="823"/>
      <c r="O145" s="28"/>
    </row>
    <row r="146" s="764" customFormat="1" customHeight="1" spans="1:15">
      <c r="A146" s="782"/>
      <c r="B146" s="806"/>
      <c r="C146" s="865"/>
      <c r="D146" s="803" t="s">
        <v>70</v>
      </c>
      <c r="E146" s="790"/>
      <c r="F146" s="787">
        <f>ROUND(F94+F98+F102+F106+F110+F114+F118+F122+F126+F130+F134+F138+F142,2)</f>
        <v>0</v>
      </c>
      <c r="G146" s="793"/>
      <c r="H146" s="803" t="s">
        <v>70</v>
      </c>
      <c r="I146" s="790"/>
      <c r="J146" s="787">
        <f>ROUND(J94+J98+J102+J106+J110+J114+J118+J122+J126+J130+J134+J138+J142,2)</f>
        <v>0</v>
      </c>
      <c r="K146" s="822"/>
      <c r="L146" s="793"/>
      <c r="M146" s="793"/>
      <c r="N146" s="823"/>
      <c r="O146" s="28"/>
    </row>
    <row r="147" s="764" customFormat="1" customHeight="1" spans="1:15">
      <c r="A147" s="782"/>
      <c r="B147" s="806"/>
      <c r="C147" s="28"/>
      <c r="D147" s="803" t="s">
        <v>71</v>
      </c>
      <c r="E147" s="790"/>
      <c r="F147" s="866">
        <f>ROUND(F95+F99+F103+F107+F111+F115+F119+F123+F127+F131+F135+F139+F143,2)</f>
        <v>0</v>
      </c>
      <c r="G147" s="793"/>
      <c r="H147" s="803" t="s">
        <v>71</v>
      </c>
      <c r="I147" s="790"/>
      <c r="J147" s="787">
        <f>ROUND(J95+J99+J103+J107+J111+J115+J119+J123+J127+J131+J135+J139+J143,2)</f>
        <v>0</v>
      </c>
      <c r="K147" s="822"/>
      <c r="L147" s="793"/>
      <c r="M147" s="863"/>
      <c r="N147" s="823"/>
      <c r="O147" s="28"/>
    </row>
    <row r="148" s="764" customFormat="1" customHeight="1" spans="1:15">
      <c r="A148" s="782"/>
      <c r="B148" s="806"/>
      <c r="C148" s="28"/>
      <c r="D148" s="867"/>
      <c r="E148" s="803"/>
      <c r="F148" s="868"/>
      <c r="G148" s="793"/>
      <c r="H148" s="867"/>
      <c r="I148" s="803"/>
      <c r="J148" s="868"/>
      <c r="K148" s="822"/>
      <c r="L148" s="793"/>
      <c r="M148" s="863"/>
      <c r="N148" s="823"/>
      <c r="O148" s="28"/>
    </row>
    <row r="149" s="764" customFormat="1" customHeight="1" spans="1:15">
      <c r="A149" s="782"/>
      <c r="B149" s="708" t="s">
        <v>81</v>
      </c>
      <c r="C149" s="709"/>
      <c r="D149" s="709"/>
      <c r="E149" s="709"/>
      <c r="F149" s="709"/>
      <c r="G149" s="709"/>
      <c r="H149" s="709"/>
      <c r="I149" s="709"/>
      <c r="J149" s="709"/>
      <c r="K149" s="710"/>
      <c r="L149" s="819">
        <f>IF(oneri_urb_prim_dest_finale-oneri_urb_prim_dest_iniziale&gt;0,oneri_urb_prim_dest_finale-oneri_urb_prim_dest_iniziale,0)</f>
        <v>0</v>
      </c>
      <c r="M149" s="820"/>
      <c r="N149" s="830"/>
      <c r="O149" s="28"/>
    </row>
    <row r="150" s="764" customFormat="1" customHeight="1" spans="1:15">
      <c r="A150" s="782"/>
      <c r="B150" s="694" t="s">
        <v>82</v>
      </c>
      <c r="C150" s="695"/>
      <c r="D150" s="695"/>
      <c r="E150" s="695"/>
      <c r="F150" s="695"/>
      <c r="G150" s="695"/>
      <c r="H150" s="695"/>
      <c r="I150" s="695"/>
      <c r="J150" s="695"/>
      <c r="K150" s="696"/>
      <c r="L150" s="819">
        <f>IF(oneri_urb_sec_dest_finale-oneri_urb_sec_dest_iniziale&gt;0,oneri_urb_sec_dest_finale-oneri_urb_sec_dest_iniziale,0)</f>
        <v>0</v>
      </c>
      <c r="M150" s="820"/>
      <c r="N150" s="830"/>
      <c r="O150" s="28"/>
    </row>
    <row r="151" s="764" customFormat="1" customHeight="1" spans="1:15">
      <c r="A151" s="782"/>
      <c r="B151" s="694" t="s">
        <v>83</v>
      </c>
      <c r="C151" s="695"/>
      <c r="D151" s="695"/>
      <c r="E151" s="695"/>
      <c r="F151" s="695"/>
      <c r="G151" s="695"/>
      <c r="H151" s="695"/>
      <c r="I151" s="695"/>
      <c r="J151" s="695"/>
      <c r="K151" s="696"/>
      <c r="L151" s="819">
        <f>smalt_rifiuti_dest_finale-smalt_rifiuti_dest_iniziale</f>
        <v>0</v>
      </c>
      <c r="M151" s="820"/>
      <c r="N151" s="830"/>
      <c r="O151" s="28"/>
    </row>
    <row r="152" s="764" customFormat="1" customHeight="1" spans="1:15">
      <c r="A152" s="782"/>
      <c r="B152" s="686"/>
      <c r="C152" s="687"/>
      <c r="D152" s="687"/>
      <c r="E152" s="687"/>
      <c r="F152" s="687"/>
      <c r="G152" s="687"/>
      <c r="H152" s="687"/>
      <c r="I152" s="687"/>
      <c r="J152" s="687"/>
      <c r="K152" s="687"/>
      <c r="L152" s="912"/>
      <c r="M152" s="913">
        <f>ImportoOneriUrb1_NuovaDest+ImportoOneriUrb2_NuovaDest+ImportoOneriSmaltRif_NuovaDest</f>
        <v>0</v>
      </c>
      <c r="N152" s="830"/>
      <c r="O152" s="28"/>
    </row>
    <row r="153" s="764" customFormat="1" customHeight="1" spans="1:15">
      <c r="A153" s="782"/>
      <c r="B153" s="806"/>
      <c r="C153" s="28"/>
      <c r="D153" s="867"/>
      <c r="E153" s="803"/>
      <c r="F153" s="868"/>
      <c r="G153" s="793"/>
      <c r="H153" s="867"/>
      <c r="I153" s="803"/>
      <c r="J153" s="868"/>
      <c r="K153" s="822"/>
      <c r="L153" s="793"/>
      <c r="M153" s="863"/>
      <c r="N153" s="823"/>
      <c r="O153" s="28"/>
    </row>
    <row r="154" s="763" customFormat="1" ht="15" customHeight="1" spans="1:15">
      <c r="A154" s="782"/>
      <c r="B154" s="869" t="s">
        <v>84</v>
      </c>
      <c r="C154" s="870"/>
      <c r="D154" s="870"/>
      <c r="E154" s="870"/>
      <c r="F154" s="870"/>
      <c r="G154" s="870"/>
      <c r="H154" s="870"/>
      <c r="I154" s="870"/>
      <c r="J154" s="870"/>
      <c r="K154" s="914"/>
      <c r="L154" s="915">
        <f>IF(ImportoOneriUrb1_NuovaDest+ImportoOneriUrb2_NuovaDest&gt;0,ImportoOneriUrb1_NuovaDest+ImportoOneriUrb2_NuovaDest,0)</f>
        <v>0</v>
      </c>
      <c r="M154" s="916"/>
      <c r="N154" s="830"/>
      <c r="O154" s="603"/>
    </row>
    <row r="155" s="764" customFormat="1" ht="15" customHeight="1" spans="1:15">
      <c r="A155" s="782"/>
      <c r="B155" s="869" t="s">
        <v>83</v>
      </c>
      <c r="C155" s="870"/>
      <c r="D155" s="870"/>
      <c r="E155" s="870"/>
      <c r="F155" s="870"/>
      <c r="G155" s="870"/>
      <c r="H155" s="870"/>
      <c r="I155" s="870"/>
      <c r="J155" s="870"/>
      <c r="K155" s="914"/>
      <c r="L155" s="915">
        <f>IF(smalt_rifiuti_dest_finale-smalt_rifiuti_dest_iniziale&gt;0,smalt_rifiuti_dest_finale-smalt_rifiuti_dest_iniziale,0)</f>
        <v>0</v>
      </c>
      <c r="M155" s="916"/>
      <c r="N155" s="823"/>
      <c r="O155" s="28"/>
    </row>
    <row r="156" s="763" customFormat="1" customHeight="1" spans="1:15">
      <c r="A156" s="782"/>
      <c r="B156" s="871"/>
      <c r="C156" s="872"/>
      <c r="D156" s="872"/>
      <c r="E156" s="872"/>
      <c r="F156" s="872"/>
      <c r="G156" s="873"/>
      <c r="H156" s="873"/>
      <c r="I156" s="909"/>
      <c r="J156" s="917"/>
      <c r="K156" s="917"/>
      <c r="L156" s="909"/>
      <c r="M156" s="918"/>
      <c r="N156" s="919"/>
      <c r="O156" s="603"/>
    </row>
    <row r="157" s="763" customFormat="1" ht="15" customHeight="1" spans="1:15">
      <c r="A157" s="782"/>
      <c r="B157" s="874" t="s">
        <v>41</v>
      </c>
      <c r="C157" s="874"/>
      <c r="D157" s="874"/>
      <c r="E157" s="874"/>
      <c r="F157" s="874"/>
      <c r="G157" s="874"/>
      <c r="H157" s="874"/>
      <c r="I157" s="874"/>
      <c r="J157" s="874"/>
      <c r="K157" s="920"/>
      <c r="L157" s="921">
        <f>ImportoOneriUrbanizzazione+ImportoSmaltRifiuti_NuovaDest+ImportoOneriUrbanizzazione_NuovaDest</f>
        <v>0</v>
      </c>
      <c r="M157" s="922"/>
      <c r="N157" s="923"/>
      <c r="O157" s="603"/>
    </row>
    <row r="158" s="678" customFormat="1" ht="16.5" customHeight="1" spans="1:15">
      <c r="A158" s="782"/>
      <c r="B158" s="793"/>
      <c r="C158" s="836"/>
      <c r="D158" s="837"/>
      <c r="E158" s="838"/>
      <c r="F158" s="837"/>
      <c r="G158" s="793"/>
      <c r="H158" s="793"/>
      <c r="I158" s="793"/>
      <c r="J158" s="793"/>
      <c r="K158" s="793"/>
      <c r="L158" s="793"/>
      <c r="M158" s="793"/>
      <c r="N158" s="782"/>
      <c r="O158" s="49"/>
    </row>
    <row r="159" s="760" customFormat="1" ht="15" customHeight="1" spans="1:15">
      <c r="A159" s="768"/>
      <c r="B159" s="682" t="s">
        <v>85</v>
      </c>
      <c r="C159" s="683"/>
      <c r="D159" s="683"/>
      <c r="E159" s="683"/>
      <c r="F159" s="683"/>
      <c r="G159" s="683"/>
      <c r="H159" s="683"/>
      <c r="I159" s="683"/>
      <c r="J159" s="683"/>
      <c r="K159" s="683"/>
      <c r="L159" s="683"/>
      <c r="M159" s="683"/>
      <c r="N159" s="684"/>
      <c r="O159" s="544"/>
    </row>
    <row r="160" s="760" customFormat="1" ht="15" customHeight="1" spans="1:15">
      <c r="A160" s="768"/>
      <c r="B160" s="875"/>
      <c r="C160" s="803"/>
      <c r="D160" s="793"/>
      <c r="E160" s="793"/>
      <c r="F160" s="793"/>
      <c r="G160" s="793"/>
      <c r="H160" s="793"/>
      <c r="I160" s="793"/>
      <c r="J160" s="793"/>
      <c r="K160" s="793"/>
      <c r="L160" s="793"/>
      <c r="M160" s="793"/>
      <c r="N160" s="830"/>
      <c r="O160" s="544"/>
    </row>
    <row r="161" s="760" customFormat="1" ht="15" customHeight="1" spans="1:15">
      <c r="A161" s="768"/>
      <c r="B161" s="876" t="s">
        <v>42</v>
      </c>
      <c r="C161" s="877"/>
      <c r="D161" s="877"/>
      <c r="E161" s="877"/>
      <c r="F161" s="877"/>
      <c r="G161" s="877"/>
      <c r="H161" s="877"/>
      <c r="I161" s="877"/>
      <c r="J161" s="877"/>
      <c r="K161" s="877"/>
      <c r="L161" s="877"/>
      <c r="M161" s="877"/>
      <c r="N161" s="924"/>
      <c r="O161" s="544"/>
    </row>
    <row r="162" s="761" customFormat="1" ht="15" customHeight="1" spans="1:15">
      <c r="A162" s="771"/>
      <c r="B162" s="806"/>
      <c r="C162" s="803"/>
      <c r="D162" s="843" t="s">
        <v>68</v>
      </c>
      <c r="E162" s="843"/>
      <c r="F162" s="843"/>
      <c r="G162" s="793"/>
      <c r="H162" s="843" t="s">
        <v>6</v>
      </c>
      <c r="I162" s="843"/>
      <c r="J162" s="843"/>
      <c r="K162" s="859"/>
      <c r="L162" s="771"/>
      <c r="M162" s="925"/>
      <c r="N162" s="861"/>
      <c r="O162" s="545"/>
    </row>
    <row r="163" s="763" customFormat="1" customHeight="1" spans="1:15">
      <c r="A163" s="782"/>
      <c r="B163" s="686" t="s">
        <v>86</v>
      </c>
      <c r="C163" s="878" t="s">
        <v>87</v>
      </c>
      <c r="D163" s="879">
        <f ca="1">CostoCost_NuovaCost_ContrBaseMinistAliq</f>
        <v>6</v>
      </c>
      <c r="E163" s="1183" t="s">
        <v>88</v>
      </c>
      <c r="F163" s="880">
        <f ca="1">CostoCost_NuovaCost_ContrBaseMinistValore</f>
        <v>0</v>
      </c>
      <c r="G163" s="878" t="s">
        <v>87</v>
      </c>
      <c r="H163" s="879">
        <f ca="1">CostoCost_Rist_ContrBaseMinistAliq</f>
        <v>5</v>
      </c>
      <c r="I163" s="1183" t="s">
        <v>88</v>
      </c>
      <c r="J163" s="880">
        <f ca="1">CostoCost_Rist_ContrBaseMinistValore</f>
        <v>0</v>
      </c>
      <c r="K163" s="926"/>
      <c r="L163" s="927">
        <f ca="1">ROUND(SUM(F163,J163,J164),2)</f>
        <v>0</v>
      </c>
      <c r="M163" s="927"/>
      <c r="N163" s="823"/>
      <c r="O163" s="928"/>
    </row>
    <row r="164" s="763" customFormat="1" customHeight="1" spans="1:15">
      <c r="A164" s="782"/>
      <c r="B164" s="686"/>
      <c r="C164"/>
      <c r="D164"/>
      <c r="E164"/>
      <c r="F164" s="881"/>
      <c r="G164" s="882" t="s">
        <v>89</v>
      </c>
      <c r="H164" s="883">
        <f>CostoCost_Rist_ContrComEstComAliq</f>
        <v>0.1</v>
      </c>
      <c r="I164" s="1184" t="s">
        <v>88</v>
      </c>
      <c r="J164" s="880">
        <f ca="1">CostoCostFinale_Rist_Resid_ComputoEstim</f>
        <v>0</v>
      </c>
      <c r="K164" s="929"/>
      <c r="L164" s="927"/>
      <c r="M164" s="927"/>
      <c r="N164" s="823"/>
      <c r="O164" s="928"/>
    </row>
    <row r="165" s="763" customFormat="1" customHeight="1" spans="1:15">
      <c r="A165" s="782"/>
      <c r="B165" s="884" t="s">
        <v>90</v>
      </c>
      <c r="C165" s="885" t="s">
        <v>87</v>
      </c>
      <c r="D165" s="879">
        <f ca="1">CostoCost_NuovaCost_ContrBaseMinistAliq</f>
        <v>6</v>
      </c>
      <c r="E165" s="1185" t="s">
        <v>88</v>
      </c>
      <c r="F165" s="880">
        <f ca="1">CostoCost_NuovaCommTerz_ContrBaseMinistValore</f>
        <v>0</v>
      </c>
      <c r="G165" s="878" t="s">
        <v>87</v>
      </c>
      <c r="H165" s="879">
        <f ca="1">CostoCost_Rist_ContrBaseMinistAliq</f>
        <v>5</v>
      </c>
      <c r="I165" s="1183" t="s">
        <v>88</v>
      </c>
      <c r="J165" s="930">
        <f ca="1">CostoCost_RistCommTerz_ContrBaseMinistValore</f>
        <v>0</v>
      </c>
      <c r="K165" s="931"/>
      <c r="L165" s="927">
        <f ca="1">ROUND(SUM(F165,F166,J165,J166),2)</f>
        <v>0</v>
      </c>
      <c r="M165" s="927"/>
      <c r="N165" s="823"/>
      <c r="O165" s="928"/>
    </row>
    <row r="166" s="763" customFormat="1" customHeight="1" spans="1:15">
      <c r="A166" s="782"/>
      <c r="B166" s="708"/>
      <c r="C166" s="887" t="s">
        <v>89</v>
      </c>
      <c r="D166" s="883">
        <f>CostoCost_NuovaCost_ContrComEstComAliq</f>
        <v>0.1</v>
      </c>
      <c r="E166" s="1183" t="s">
        <v>88</v>
      </c>
      <c r="F166" s="880">
        <f>CostoCostFinale_NuovaCostComm_ComputoEstim</f>
        <v>0</v>
      </c>
      <c r="G166" s="888" t="s">
        <v>89</v>
      </c>
      <c r="H166" s="889">
        <f>CostoCost_Rist_ContrComEstComAliq</f>
        <v>0.1</v>
      </c>
      <c r="I166" s="1186" t="s">
        <v>88</v>
      </c>
      <c r="J166" s="930">
        <f>CostoCostFinale_RistComm_ComputoEstim</f>
        <v>0</v>
      </c>
      <c r="K166" s="933"/>
      <c r="L166" s="927"/>
      <c r="M166" s="927"/>
      <c r="N166" s="823"/>
      <c r="O166" s="934"/>
    </row>
    <row r="167" s="763" customFormat="1" customHeight="1" spans="1:15">
      <c r="A167" s="782"/>
      <c r="B167" s="890" t="s">
        <v>7</v>
      </c>
      <c r="C167" s="878" t="s">
        <v>87</v>
      </c>
      <c r="D167" s="879">
        <f ca="1">CostoCost_Sot_ContrBaseMinistAliq</f>
        <v>6</v>
      </c>
      <c r="E167" s="1185" t="s">
        <v>88</v>
      </c>
      <c r="F167" s="880">
        <f ca="1">CostoCost_Sottotetti_ContrBaseMinistValore</f>
        <v>0</v>
      </c>
      <c r="G167" s="891"/>
      <c r="H167" s="838"/>
      <c r="I167" s="838"/>
      <c r="J167" s="838"/>
      <c r="K167" s="935"/>
      <c r="L167" s="927">
        <f ca="1">ROUND(SUM(F167,F168),2)</f>
        <v>0</v>
      </c>
      <c r="M167" s="927"/>
      <c r="N167" s="823"/>
      <c r="O167" s="928"/>
    </row>
    <row r="168" s="763" customFormat="1" customHeight="1" spans="1:15">
      <c r="A168" s="782"/>
      <c r="B168" s="892"/>
      <c r="C168" s="887" t="s">
        <v>89</v>
      </c>
      <c r="D168" s="879">
        <f ca="1">CostoCost_Sot_ContrBaseMinistAliq</f>
        <v>6</v>
      </c>
      <c r="E168" s="1187" t="s">
        <v>88</v>
      </c>
      <c r="F168" s="880">
        <f ca="1">CostoCostFinale_Sottotetti_ComputoEstim</f>
        <v>0</v>
      </c>
      <c r="G168" s="894"/>
      <c r="H168" s="895"/>
      <c r="I168" s="895"/>
      <c r="J168" s="895"/>
      <c r="K168" s="936"/>
      <c r="L168" s="927"/>
      <c r="M168" s="927"/>
      <c r="N168" s="823"/>
      <c r="O168" s="928"/>
    </row>
    <row r="169" s="765" customFormat="1" ht="25.5" customHeight="1" spans="1:15">
      <c r="A169" s="896"/>
      <c r="B169" s="897" t="s">
        <v>45</v>
      </c>
      <c r="C169" s="898"/>
      <c r="D169" s="899"/>
      <c r="E169" s="899"/>
      <c r="F169" s="899"/>
      <c r="G169" s="899"/>
      <c r="H169" s="899"/>
      <c r="I169" s="899"/>
      <c r="J169" s="899"/>
      <c r="K169" s="937"/>
      <c r="L169" s="938" t="str">
        <f ca="1">IF(CC_AltriCosti_ValoreMaggCCRecSott&gt;0,IF(Parametri_MaggiorazioneSottotettiCC&gt;0,TEXT(Parametri_MaggiorazioneSottotettiCC,"0%"),"Nessuna"),"")</f>
        <v/>
      </c>
      <c r="M169" s="939">
        <f ca="1">CostoCost_Sott_ContEscMagg*Parametri_MaggiorazioneSottotettiCC</f>
        <v>0</v>
      </c>
      <c r="N169" s="940"/>
      <c r="O169" s="941"/>
    </row>
    <row r="170" s="763" customFormat="1" hidden="1" customHeight="1" spans="1:15">
      <c r="A170" s="782"/>
      <c r="B170" s="694" t="s">
        <v>46</v>
      </c>
      <c r="C170" s="695"/>
      <c r="D170" s="695"/>
      <c r="E170" s="695"/>
      <c r="F170" s="695"/>
      <c r="G170" s="695"/>
      <c r="H170" s="695"/>
      <c r="I170" s="695"/>
      <c r="J170" s="695"/>
      <c r="K170" s="696"/>
      <c r="L170" s="942" t="str">
        <f ca="1">IF(CC_RiduzionePianoCasa&gt;0,IF(Par_PianoCasa_RidCC&gt;0,TEXT(Par_PianoCasa_RidCC,"0%")&amp;" a dedurre","Nessuna"),"")</f>
        <v/>
      </c>
      <c r="M170" s="832">
        <f ca="1">IF(PianoCasa="Sì",((CC_Residenziale+CC_CommercioTerziario+cc_CostoCostRecSottProg+CC_AltriCosti_ValoreMaggCCRecSott)*Par_PianoCasa_RidCC),0)</f>
        <v>0</v>
      </c>
      <c r="N170" s="943"/>
      <c r="O170" s="603"/>
    </row>
    <row r="171" s="763" customFormat="1" customHeight="1" spans="1:15">
      <c r="A171" s="782"/>
      <c r="B171" s="694" t="s">
        <v>33</v>
      </c>
      <c r="C171" s="695"/>
      <c r="D171" s="695"/>
      <c r="E171" s="695"/>
      <c r="F171" s="695"/>
      <c r="G171" s="695"/>
      <c r="H171" s="695"/>
      <c r="I171" s="695"/>
      <c r="J171" s="695"/>
      <c r="K171" s="696"/>
      <c r="L171" s="942" t="str">
        <f ca="1">IF(CC_RiduzioneDensificazione&gt;0,IF(Par_Rid_Densificazione_CC&gt;0,TEXT(Par_Rid_Densificazione_CC,"0%")&amp;" a dedurre","Nessuna"),"")</f>
        <v/>
      </c>
      <c r="M171" s="832">
        <f ca="1">IF(Densificazione="Sì",((CC_Residenziale+CC_CommercioTerziario+cc_CostoCostRecSottProg+CC_AltriCosti_ValoreMaggCCRecSott)*Par_Rid_Densificazione_CC),0)</f>
        <v>0</v>
      </c>
      <c r="N171" s="944"/>
      <c r="O171" s="603"/>
    </row>
    <row r="172" s="763" customFormat="1" customHeight="1" spans="1:15">
      <c r="A172" s="782"/>
      <c r="B172" s="694" t="s">
        <v>47</v>
      </c>
      <c r="C172" s="695"/>
      <c r="D172" s="695"/>
      <c r="E172" s="695"/>
      <c r="F172" s="695"/>
      <c r="G172" s="695"/>
      <c r="H172" s="695"/>
      <c r="I172" s="695"/>
      <c r="J172" s="695"/>
      <c r="K172" s="696"/>
      <c r="L172" s="942" t="str">
        <f>IF(ConsumoSuolo&lt;&gt;"No",IF(ConsumoSuolo&gt;0,TEXT(ConsumoSuolo,"0%"),"Nessuna"),"")</f>
        <v/>
      </c>
      <c r="M172" s="832">
        <f ca="1">IF(ConsumoSuolo&lt;&gt;"No",(CC_Residenziale+CC_CommercioTerziario+cc_CostoCostRecSottProg)*ConsumoSuolo,0)</f>
        <v>0</v>
      </c>
      <c r="N172" s="944"/>
      <c r="O172" s="603"/>
    </row>
    <row r="173" s="763" customFormat="1" customHeight="1" spans="1:15">
      <c r="A173" s="782"/>
      <c r="B173" s="694" t="s">
        <v>91</v>
      </c>
      <c r="C173" s="695"/>
      <c r="D173" s="695"/>
      <c r="E173" s="695"/>
      <c r="F173" s="695"/>
      <c r="G173" s="695"/>
      <c r="H173" s="695"/>
      <c r="I173" s="695"/>
      <c r="J173" s="695"/>
      <c r="K173" s="696"/>
      <c r="L173" s="945" t="str">
        <f>IF(CC_Corrisposto&gt;0," a dedurre","")</f>
        <v/>
      </c>
      <c r="M173" s="946">
        <f>CostoCostr_NuovaEdif_corrisposto_concessione_cong+CostoCostr_NuovaEdif_corrisposto_varianti+CostoCostr_Ristrutt_corrisposto_concessione_cong+CostoCostr_Ristrutt_corrisposto_varianti</f>
        <v>0</v>
      </c>
      <c r="N173" s="944"/>
      <c r="O173" s="928"/>
    </row>
    <row r="174" s="763" customFormat="1" ht="15" customHeight="1" spans="1:15">
      <c r="A174" s="782"/>
      <c r="B174" s="900" t="s">
        <v>37</v>
      </c>
      <c r="C174" s="901"/>
      <c r="D174" s="901"/>
      <c r="E174" s="901"/>
      <c r="F174" s="901"/>
      <c r="G174" s="901"/>
      <c r="H174" s="901"/>
      <c r="I174" s="901"/>
      <c r="J174" s="901"/>
      <c r="K174" s="947"/>
      <c r="L174" s="948">
        <f ca="1">IF((CC_Residenziale+CC_CommercioTerziario+cc_CostoCostRecSottProg+CC_AltriCosti_ValoreMaggCCRecSott-CC_RiduzionePianoCasa-CC_RiduzioneDensificazione+CC_MaggConsumoSuolo-CC_Corrisposto)&gt;0,CC_Residenziale+CC_CommercioTerziario+cc_CostoCostRecSottProg+CC_AltriCosti_ValoreMaggCCRecSott-CC_RiduzionePianoCasa-CC_RiduzioneDensificazione+CC_MaggConsumoSuolo-CC_Corrisposto,0)</f>
        <v>0</v>
      </c>
      <c r="M174" s="949"/>
      <c r="N174" s="823"/>
      <c r="O174" s="603"/>
    </row>
    <row r="175" s="763" customFormat="1" customHeight="1" spans="1:15">
      <c r="A175" s="782"/>
      <c r="B175" s="902"/>
      <c r="C175" s="903"/>
      <c r="D175" s="903"/>
      <c r="E175" s="903"/>
      <c r="F175" s="903"/>
      <c r="G175" s="903"/>
      <c r="H175" s="903"/>
      <c r="I175" s="903"/>
      <c r="J175" s="950"/>
      <c r="K175" s="903"/>
      <c r="L175" s="951"/>
      <c r="M175" s="951"/>
      <c r="N175" s="823"/>
      <c r="O175" s="603"/>
    </row>
    <row r="176" s="760" customFormat="1" customHeight="1" spans="1:15">
      <c r="A176" s="768"/>
      <c r="B176" s="876" t="s">
        <v>49</v>
      </c>
      <c r="C176" s="877"/>
      <c r="D176" s="877"/>
      <c r="E176" s="877"/>
      <c r="F176" s="877"/>
      <c r="G176" s="877"/>
      <c r="H176" s="877"/>
      <c r="I176" s="877"/>
      <c r="J176" s="877"/>
      <c r="K176" s="877"/>
      <c r="L176" s="877"/>
      <c r="M176" s="877"/>
      <c r="N176" s="924"/>
      <c r="O176" s="544"/>
    </row>
    <row r="177" s="678" customFormat="1" customHeight="1" spans="1:15">
      <c r="A177" s="782"/>
      <c r="B177" s="145" t="s">
        <v>92</v>
      </c>
      <c r="C177" s="146"/>
      <c r="D177" s="146"/>
      <c r="E177" s="146"/>
      <c r="F177" s="146"/>
      <c r="G177" s="146"/>
      <c r="H177" s="146"/>
      <c r="I177" s="146"/>
      <c r="J177" s="146"/>
      <c r="K177" s="147"/>
      <c r="L177" s="819">
        <f>CostoCostProg_ContributoDovuto</f>
        <v>0</v>
      </c>
      <c r="M177" s="820"/>
      <c r="N177" s="952"/>
      <c r="O177" s="49"/>
    </row>
    <row r="178" s="678" customFormat="1" customHeight="1" spans="1:15">
      <c r="A178" s="782"/>
      <c r="B178" s="150" t="s">
        <v>93</v>
      </c>
      <c r="C178" s="151"/>
      <c r="D178" s="151"/>
      <c r="E178" s="151"/>
      <c r="F178" s="151"/>
      <c r="G178" s="151"/>
      <c r="H178" s="151"/>
      <c r="I178" s="151"/>
      <c r="J178" s="151"/>
      <c r="K178" s="152"/>
      <c r="L178" s="826">
        <f>CostoCostStatoFatto_ContributoDovuto</f>
        <v>0</v>
      </c>
      <c r="M178" s="826"/>
      <c r="N178" s="830"/>
      <c r="O178" s="49"/>
    </row>
    <row r="179" s="763" customFormat="1" hidden="1" customHeight="1" spans="1:15">
      <c r="A179" s="782"/>
      <c r="B179" s="694" t="s">
        <v>46</v>
      </c>
      <c r="C179" s="695"/>
      <c r="D179" s="695"/>
      <c r="E179" s="695"/>
      <c r="F179" s="695"/>
      <c r="G179" s="695"/>
      <c r="H179" s="695"/>
      <c r="I179" s="695"/>
      <c r="J179" s="695"/>
      <c r="K179" s="696"/>
      <c r="L179" s="942" t="str">
        <f>IF(CC_RiduzionePianoCasa_StFatto_Prog&gt;0,IF(Par_PianoCasa_RidCC&gt;0,TEXT(Par_PianoCasa_RidCC,"0%")&amp;" a dedurre","Nessuna"),"")</f>
        <v/>
      </c>
      <c r="M179" s="832">
        <f>IF(PianoCasa="Sì",((CostoCostProg_ContributoDovuto-CostoCostStatoFatto_ContributoDovuto)*Par_PianoCasa_Rid),0)</f>
        <v>0</v>
      </c>
      <c r="N179" s="943"/>
      <c r="O179" s="603"/>
    </row>
    <row r="180" s="763" customFormat="1" customHeight="1" spans="1:15">
      <c r="A180" s="782"/>
      <c r="B180" s="694" t="s">
        <v>33</v>
      </c>
      <c r="C180" s="695"/>
      <c r="D180" s="695"/>
      <c r="E180" s="695"/>
      <c r="F180" s="695"/>
      <c r="G180" s="695"/>
      <c r="H180" s="695"/>
      <c r="I180" s="695"/>
      <c r="J180" s="695"/>
      <c r="K180" s="696"/>
      <c r="L180" s="942" t="str">
        <f>IF(CC_RiduzioneDensificazione_StFatto_Prog&gt;0,IF(Par_Rid_Densificazione_CC&gt;0,TEXT(Par_Rid_Densificazione_CC,"0%")&amp;" a dedurre","Nessuna"),"")</f>
        <v/>
      </c>
      <c r="M180" s="832">
        <f>IF(Densificazione="Sì",((CostoCostProg_ContributoDovuto-CostoCostStatoFatto_ContributoDovuto)*Par_Rid_Densificazione_CC),0)</f>
        <v>0</v>
      </c>
      <c r="N180" s="944"/>
      <c r="O180" s="603"/>
    </row>
    <row r="181" s="763" customFormat="1" customHeight="1" spans="1:15">
      <c r="A181" s="782"/>
      <c r="B181" s="694" t="s">
        <v>47</v>
      </c>
      <c r="C181" s="695"/>
      <c r="D181" s="695"/>
      <c r="E181" s="695"/>
      <c r="F181" s="695"/>
      <c r="G181" s="695"/>
      <c r="H181" s="695"/>
      <c r="I181" s="695"/>
      <c r="J181" s="695"/>
      <c r="K181" s="696"/>
      <c r="L181" s="942" t="str">
        <f>IF(ConsumoSuolo&lt;&gt;"No",IF(ConsumoSuolo&gt;0,TEXT(ConsumoSuolo,"0%"),"Nessuna"),"")</f>
        <v/>
      </c>
      <c r="M181" s="832">
        <f>IF(ConsumoSuolo&lt;&gt;"No",(IF(L177-L178&gt;0,L177-L178,0))*ConsumoSuolo,0)</f>
        <v>0</v>
      </c>
      <c r="N181" s="944"/>
      <c r="O181" s="603"/>
    </row>
    <row r="182" s="678" customFormat="1" customHeight="1" spans="1:15">
      <c r="A182" s="782"/>
      <c r="B182" s="150" t="s">
        <v>91</v>
      </c>
      <c r="C182" s="151"/>
      <c r="D182" s="151"/>
      <c r="E182" s="151"/>
      <c r="F182" s="151"/>
      <c r="G182" s="151"/>
      <c r="H182" s="151"/>
      <c r="I182" s="151"/>
      <c r="J182" s="151"/>
      <c r="K182" s="152"/>
      <c r="L182" s="831" t="str">
        <f>IF(CC_Corrisposto&gt;0," a dedurre","")</f>
        <v/>
      </c>
      <c r="M182" s="832">
        <f>ROUND(CostoCostr_NuovaEdif_Prog_corrisposto_concessione_cong+CostoCostr_NuovaEdif_Prog_corrisposto_varianti+CostoCostr_NuovaEdif_StFatto_corrisposto_concessione_cong+CostoCostr_NuovaEdif_StFatto_corrisposto_varianti,2)</f>
        <v>0</v>
      </c>
      <c r="N182" s="830"/>
      <c r="O182" s="49"/>
    </row>
    <row r="183" s="678" customFormat="1" ht="15" customHeight="1" spans="1:15">
      <c r="A183" s="782"/>
      <c r="B183" s="900" t="s">
        <v>37</v>
      </c>
      <c r="C183" s="901"/>
      <c r="D183" s="901"/>
      <c r="E183" s="901"/>
      <c r="F183" s="901"/>
      <c r="G183" s="901"/>
      <c r="H183" s="901"/>
      <c r="I183" s="901"/>
      <c r="J183" s="901"/>
      <c r="K183" s="947"/>
      <c r="L183" s="953">
        <f>IF((CostoCostProg_ContributoDovuto-CostoCostStatoFatto_ContributoDovuto-CostoCostr_Prog_StFatto_corrisposto-CC_RiduzionePianoCasa_StFatto_Prog-CC_RiduzioneDensificazione_StFatto_Prog+CC_StFatto_MaggConsumoSuolo)&gt;0,CostoCostProg_ContributoDovuto-CostoCostStatoFatto_ContributoDovuto-CostoCostr_Prog_StFatto_corrisposto-CC_RiduzionePianoCasa_StFatto_Prog-CC_RiduzioneDensificazione_StFatto_Prog+CC_StFatto_MaggConsumoSuolo,0)</f>
        <v>0</v>
      </c>
      <c r="M183" s="953"/>
      <c r="N183" s="830"/>
      <c r="O183" s="49"/>
    </row>
    <row r="184" s="763" customFormat="1" customHeight="1" spans="1:15">
      <c r="A184" s="782"/>
      <c r="B184" s="904"/>
      <c r="C184" s="905"/>
      <c r="D184" s="906"/>
      <c r="E184" s="907"/>
      <c r="F184" s="908"/>
      <c r="G184" s="909"/>
      <c r="H184" s="909"/>
      <c r="I184" s="909"/>
      <c r="J184" s="909"/>
      <c r="K184" s="909"/>
      <c r="L184" s="909"/>
      <c r="M184" s="954"/>
      <c r="N184" s="955"/>
      <c r="O184" s="928"/>
    </row>
    <row r="185" s="678" customFormat="1" ht="15" customHeight="1" spans="1:15">
      <c r="A185" s="782"/>
      <c r="B185" s="910" t="s">
        <v>37</v>
      </c>
      <c r="C185" s="910"/>
      <c r="D185" s="910"/>
      <c r="E185" s="910"/>
      <c r="F185" s="910"/>
      <c r="G185" s="910"/>
      <c r="H185" s="910"/>
      <c r="I185" s="910"/>
      <c r="J185" s="910"/>
      <c r="K185" s="956"/>
      <c r="L185" s="957">
        <f ca="1">ROUND(ImportoCostoCostruzione+ImportoCostoCostruzione_StatoFattoProgetto,2)</f>
        <v>0</v>
      </c>
      <c r="M185" s="958"/>
      <c r="N185" s="959"/>
      <c r="O185" s="49"/>
    </row>
    <row r="186" s="678" customFormat="1" ht="15.75" customHeight="1" spans="1:15">
      <c r="A186" s="782"/>
      <c r="B186" s="793"/>
      <c r="C186" s="836"/>
      <c r="D186" s="837"/>
      <c r="E186" s="838"/>
      <c r="F186" s="837"/>
      <c r="G186" s="793"/>
      <c r="H186" s="793"/>
      <c r="I186" s="793"/>
      <c r="J186" s="793"/>
      <c r="K186" s="793"/>
      <c r="L186" s="793"/>
      <c r="M186" s="793"/>
      <c r="N186" s="782"/>
      <c r="O186" s="49"/>
    </row>
    <row r="187" s="761" customFormat="1" ht="15" customHeight="1" spans="1:15">
      <c r="A187" s="771"/>
      <c r="B187" s="769" t="s">
        <v>51</v>
      </c>
      <c r="C187" s="770"/>
      <c r="D187" s="770"/>
      <c r="E187" s="770"/>
      <c r="F187" s="770"/>
      <c r="G187" s="770"/>
      <c r="H187" s="770"/>
      <c r="I187" s="770"/>
      <c r="J187" s="770"/>
      <c r="K187" s="770"/>
      <c r="L187" s="770"/>
      <c r="M187" s="770"/>
      <c r="N187" s="812"/>
      <c r="O187" s="960">
        <f ca="1">ROUND(F60-F37-F38+F163+F164+F165+F166+(L177-L178),2)</f>
        <v>0</v>
      </c>
    </row>
    <row r="188" s="761" customFormat="1" ht="15" customHeight="1" spans="1:15">
      <c r="A188" s="771"/>
      <c r="B188" s="708" t="s">
        <v>52</v>
      </c>
      <c r="C188" s="709"/>
      <c r="D188" s="709"/>
      <c r="E188" s="709"/>
      <c r="F188" s="709"/>
      <c r="G188" s="709"/>
      <c r="H188" s="709"/>
      <c r="I188" s="709"/>
      <c r="J188" s="709"/>
      <c r="K188" s="710"/>
      <c r="L188" s="826">
        <f ca="1">IF(InSanatoria="No",0,IF(InSanatoria="Si (nuova edificazione)",O187,IF(InSanatoria="Si (ristrutturazione)",O188,IF(InSanatoria="Si (recupero sottotetto)",O189,IF(InSanatoria="Si (intero contributo)",O187+O188+O189,0)))))</f>
        <v>0</v>
      </c>
      <c r="M188" s="826"/>
      <c r="N188" s="961"/>
      <c r="O188" s="960">
        <f ca="1">ROUND(J60+J163+J164+J165+J166+(L177-L178),2)</f>
        <v>0</v>
      </c>
    </row>
    <row r="189" s="763" customFormat="1" customHeight="1" spans="1:15">
      <c r="A189" s="782"/>
      <c r="B189" s="708" t="s">
        <v>94</v>
      </c>
      <c r="C189" s="709"/>
      <c r="D189" s="709"/>
      <c r="E189" s="709"/>
      <c r="F189" s="709"/>
      <c r="G189" s="709"/>
      <c r="H189" s="709"/>
      <c r="I189" s="709"/>
      <c r="J189" s="709"/>
      <c r="K189" s="710"/>
      <c r="L189" s="826">
        <f>DatiGen_IntervSanOnerosaForfImp</f>
        <v>0</v>
      </c>
      <c r="M189" s="826"/>
      <c r="N189" s="830"/>
      <c r="O189" s="960">
        <f ca="1">ROUND(F37+F38+CC_AltriCosti_ValoreMaggOnPrimRecSott+CC_AltriCosti_ValoreMaggOnRecSott+F167+F168+CC_AltriCosti_ValoreMaggCCRecSott,2)</f>
        <v>0</v>
      </c>
    </row>
    <row r="190" s="763" customFormat="1" customHeight="1" spans="1:15">
      <c r="A190" s="782"/>
      <c r="B190" s="694" t="s">
        <v>95</v>
      </c>
      <c r="C190" s="695"/>
      <c r="D190" s="695"/>
      <c r="E190" s="695"/>
      <c r="F190" s="695"/>
      <c r="G190" s="695"/>
      <c r="H190" s="695"/>
      <c r="I190" s="695"/>
      <c r="J190" s="695"/>
      <c r="K190" s="696"/>
      <c r="L190" s="831" t="str">
        <f>IF(OnUrb_AltriCosti_ValoreMaggCostoCAreeAgr&gt;0,IF(Parametri_MaggiorazioneAreeAgric&gt;0,Parametri_MaggiorazioneAreeAgric&amp;"%","Nessuna"),"")</f>
        <v/>
      </c>
      <c r="M190" s="832">
        <f>IF(Ou_NuovaEd_AreaAgricola="Sì",IF(Ou_NuovaEd_AreaAgricolaPerc&gt;0,(ImportoOneriUrb1+ImportoOneriUrb2+ImportoOneriSmaltimentoRif+OpereUrbPrimRealizzate+OpereUrbSecRealizzate)*Parametri_MaggiorazioneAreeAgric/100)*Ou_NuovaEd_AreaAgricolaPerc,0)</f>
        <v>0</v>
      </c>
      <c r="N190" s="830"/>
      <c r="O190" s="603"/>
    </row>
    <row r="191" s="763" customFormat="1" customHeight="1" spans="1:15">
      <c r="A191" s="782"/>
      <c r="B191" s="694" t="s">
        <v>96</v>
      </c>
      <c r="C191" s="695"/>
      <c r="D191" s="695"/>
      <c r="E191" s="695"/>
      <c r="F191" s="695"/>
      <c r="G191" s="695"/>
      <c r="H191" s="695"/>
      <c r="I191" s="695"/>
      <c r="J191" s="695"/>
      <c r="K191" s="696"/>
      <c r="L191" s="831" t="str">
        <f ca="1">IF(CC_AltriCosti_ValoreMaggCostoCAreeAgr&gt;0,IF(Parametri_MaggiorazioneAreeAgric&gt;0,Parametri_MaggiorazioneAreeAgric&amp;"%","Nessuna"),"")</f>
        <v/>
      </c>
      <c r="M191" s="832">
        <f ca="1">IF(Ou_NuovaEd_AreaAgricola="Sì",IF(Ou_NuovaEd_AreaAgricolaPerc&gt;0,((CC_Residenziale+CC_CommercioTerziario+cc_CostoCostRecSottProg)*Parametri_MaggiorazioneAreeAgric/100)*Ou_NuovaEd_AreaAgricolaPerc,((CC_Residenziale+CC_CommercioTerziario+cc_CostoCostRecSottProg)*Parametri_MaggiorazioneAreeAgric/100)),0)</f>
        <v>0</v>
      </c>
      <c r="N191" s="830"/>
      <c r="O191" s="603"/>
    </row>
    <row r="192" s="763" customFormat="1" customHeight="1" spans="1:15">
      <c r="A192" s="782"/>
      <c r="B192" s="694" t="s">
        <v>53</v>
      </c>
      <c r="C192" s="695"/>
      <c r="D192" s="695"/>
      <c r="E192" s="695"/>
      <c r="F192" s="695"/>
      <c r="G192" s="695"/>
      <c r="H192" s="695"/>
      <c r="I192" s="695"/>
      <c r="J192" s="695"/>
      <c r="K192" s="696"/>
      <c r="L192" s="826">
        <f>IF(ISERROR(MATCH(ZonaMonetizzazioneAreeStand,ElencoZoneMonetizzazione))=TRUE,0,ZonaMonetizzazioneAreeStand_Valore*Monetizz_Aree_sup)</f>
        <v>0</v>
      </c>
      <c r="M192" s="826"/>
      <c r="N192" s="830"/>
      <c r="O192" s="962">
        <f>IF(ZonaMonetizzazioneAreeStand&lt;&gt;"",(VLOOKUP(ZonaMonetizzazioneAreeStand,Parametri_ElencoZoneMatrice,4,FALSE)),"")</f>
        <v>0</v>
      </c>
    </row>
    <row r="193" s="763" customFormat="1" customHeight="1" spans="1:15">
      <c r="A193" s="782"/>
      <c r="B193" s="963" t="s">
        <v>97</v>
      </c>
      <c r="C193" s="964"/>
      <c r="D193" s="964"/>
      <c r="E193" s="964"/>
      <c r="F193" s="964"/>
      <c r="G193" s="964"/>
      <c r="H193" s="964"/>
      <c r="I193" s="964"/>
      <c r="J193" s="964"/>
      <c r="K193" s="968"/>
      <c r="L193" s="969">
        <f>IF(ISERROR(MATCH(ZonaMonetizzazioneParcheg,ElencoZoneMonetizzazione_Parcheggi))=TRUE,0,ZonaMonetizzazioneParcheggi_Valore*Monetizz_Parcheggi_Sup)</f>
        <v>0</v>
      </c>
      <c r="M193" s="969"/>
      <c r="N193" s="919"/>
      <c r="O193" s="962">
        <f>IF(ZonaMonetizzazioneParcheg&lt;&gt;"",(VLOOKUP(ZonaMonetizzazioneParcheg,Parametri_ElencoZoneParcheggiMatrice,4,FALSE)),"")</f>
        <v>0</v>
      </c>
    </row>
    <row r="194" s="763" customFormat="1" ht="15" customHeight="1" spans="1:15">
      <c r="A194" s="782"/>
      <c r="B194" s="965" t="s">
        <v>37</v>
      </c>
      <c r="C194" s="965"/>
      <c r="D194" s="965"/>
      <c r="E194" s="965"/>
      <c r="F194" s="965"/>
      <c r="G194" s="965"/>
      <c r="H194" s="965"/>
      <c r="I194" s="965"/>
      <c r="J194" s="965"/>
      <c r="K194" s="970"/>
      <c r="L194" s="971">
        <f ca="1">ROUND(CC_Oblazione+CC_AltriCosti_Sanzione+OnUrb_AltriCosti_ValoreMaggCostoCAreeAgr+CC_AltriCosti_ValoreMaggCostoCAreeAgr+Co_MonAreeStand+Co_MonAreeParc,2)</f>
        <v>0</v>
      </c>
      <c r="M194" s="971"/>
      <c r="N194" s="972"/>
      <c r="O194" s="603"/>
    </row>
    <row r="195" s="678" customFormat="1" ht="16.5" customHeight="1" spans="1:15">
      <c r="A195" s="782"/>
      <c r="B195" s="793"/>
      <c r="C195" s="836"/>
      <c r="D195" s="837"/>
      <c r="E195" s="838"/>
      <c r="F195" s="837"/>
      <c r="G195" s="793"/>
      <c r="H195" s="793"/>
      <c r="I195" s="793"/>
      <c r="J195" s="793"/>
      <c r="K195" s="793"/>
      <c r="L195" s="793"/>
      <c r="M195" s="857"/>
      <c r="N195" s="782"/>
      <c r="O195" s="49"/>
    </row>
    <row r="196" s="678" customFormat="1" ht="15" customHeight="1" spans="1:15">
      <c r="A196" s="966"/>
      <c r="B196" s="967" t="s">
        <v>55</v>
      </c>
      <c r="C196" s="967"/>
      <c r="D196" s="967"/>
      <c r="E196" s="967"/>
      <c r="F196" s="967"/>
      <c r="G196" s="967"/>
      <c r="H196" s="967"/>
      <c r="I196" s="967"/>
      <c r="J196" s="967"/>
      <c r="K196" s="973"/>
      <c r="L196" s="915">
        <f ca="1">ROUND(ImportoOneriUrbanizzazione_Riferimento+ImportoCostoCostruzione_conAltriCosti+ImportoAltriCosti,2)</f>
        <v>0</v>
      </c>
      <c r="M196" s="916"/>
      <c r="N196" s="974"/>
      <c r="O196" s="49"/>
    </row>
    <row r="197" s="678" customFormat="1" ht="15" customHeight="1" spans="1:15">
      <c r="A197" s="966"/>
      <c r="B197" s="967"/>
      <c r="C197" s="967"/>
      <c r="D197" s="967"/>
      <c r="E197" s="967"/>
      <c r="F197" s="967"/>
      <c r="G197" s="967"/>
      <c r="H197" s="967"/>
      <c r="I197" s="967"/>
      <c r="J197" s="967"/>
      <c r="K197" s="967"/>
      <c r="L197"/>
      <c r="M197"/>
      <c r="N197" s="959"/>
      <c r="O197" s="49"/>
    </row>
  </sheetData>
  <sheetProtection password="83CC" sheet="1" formatColumns="0" formatRows="0" insertRows="0" objects="1" scenarios="1"/>
  <mergeCells count="305">
    <mergeCell ref="B2:N2"/>
    <mergeCell ref="D3:F3"/>
    <mergeCell ref="H3:J3"/>
    <mergeCell ref="L3:M3"/>
    <mergeCell ref="B4:C4"/>
    <mergeCell ref="D4:F4"/>
    <mergeCell ref="H4:J4"/>
    <mergeCell ref="B5:C5"/>
    <mergeCell ref="L5:M5"/>
    <mergeCell ref="B6:C6"/>
    <mergeCell ref="L6:M6"/>
    <mergeCell ref="B7:C7"/>
    <mergeCell ref="L7:M7"/>
    <mergeCell ref="B8:C8"/>
    <mergeCell ref="D8:F8"/>
    <mergeCell ref="H8:J8"/>
    <mergeCell ref="B9:C9"/>
    <mergeCell ref="L9:M9"/>
    <mergeCell ref="B10:C10"/>
    <mergeCell ref="L10:M10"/>
    <mergeCell ref="B11:C11"/>
    <mergeCell ref="L11:M11"/>
    <mergeCell ref="B12:C12"/>
    <mergeCell ref="D12:F12"/>
    <mergeCell ref="H12:J12"/>
    <mergeCell ref="B13:C13"/>
    <mergeCell ref="L13:M13"/>
    <mergeCell ref="B14:C14"/>
    <mergeCell ref="L14:M14"/>
    <mergeCell ref="B15:C15"/>
    <mergeCell ref="L15:M15"/>
    <mergeCell ref="B16:C16"/>
    <mergeCell ref="D16:F16"/>
    <mergeCell ref="H16:J16"/>
    <mergeCell ref="B17:C17"/>
    <mergeCell ref="L17:M17"/>
    <mergeCell ref="B18:C18"/>
    <mergeCell ref="L18:M18"/>
    <mergeCell ref="B19:C19"/>
    <mergeCell ref="L19:M19"/>
    <mergeCell ref="B20:C20"/>
    <mergeCell ref="D20:F20"/>
    <mergeCell ref="H20:J20"/>
    <mergeCell ref="B21:C21"/>
    <mergeCell ref="L21:M21"/>
    <mergeCell ref="B22:C22"/>
    <mergeCell ref="L22:M22"/>
    <mergeCell ref="B23:C23"/>
    <mergeCell ref="L23:M23"/>
    <mergeCell ref="D24:F24"/>
    <mergeCell ref="H24:J24"/>
    <mergeCell ref="B25:C25"/>
    <mergeCell ref="L25:M25"/>
    <mergeCell ref="B26:C26"/>
    <mergeCell ref="L26:M26"/>
    <mergeCell ref="B27:C27"/>
    <mergeCell ref="L27:M27"/>
    <mergeCell ref="B28:C28"/>
    <mergeCell ref="D28:F28"/>
    <mergeCell ref="H28:J28"/>
    <mergeCell ref="B29:C29"/>
    <mergeCell ref="L29:M29"/>
    <mergeCell ref="B30:C30"/>
    <mergeCell ref="L30:M30"/>
    <mergeCell ref="B31:C31"/>
    <mergeCell ref="L31:M31"/>
    <mergeCell ref="B32:C32"/>
    <mergeCell ref="D32:F32"/>
    <mergeCell ref="H32:J32"/>
    <mergeCell ref="B33:C33"/>
    <mergeCell ref="L33:M33"/>
    <mergeCell ref="B34:C34"/>
    <mergeCell ref="L34:M34"/>
    <mergeCell ref="B35:C35"/>
    <mergeCell ref="L35:M35"/>
    <mergeCell ref="D36:F36"/>
    <mergeCell ref="L37:M37"/>
    <mergeCell ref="L38:M38"/>
    <mergeCell ref="L39:M39"/>
    <mergeCell ref="B40:C40"/>
    <mergeCell ref="D40:F40"/>
    <mergeCell ref="H40:J40"/>
    <mergeCell ref="B41:C41"/>
    <mergeCell ref="L41:M41"/>
    <mergeCell ref="B42:C42"/>
    <mergeCell ref="L42:M42"/>
    <mergeCell ref="B43:C43"/>
    <mergeCell ref="L43:M43"/>
    <mergeCell ref="B44:C44"/>
    <mergeCell ref="D44:F44"/>
    <mergeCell ref="H44:J44"/>
    <mergeCell ref="B45:C45"/>
    <mergeCell ref="L45:M45"/>
    <mergeCell ref="B46:C46"/>
    <mergeCell ref="L46:M46"/>
    <mergeCell ref="B47:C47"/>
    <mergeCell ref="L47:M47"/>
    <mergeCell ref="B48:C48"/>
    <mergeCell ref="D48:F48"/>
    <mergeCell ref="H48:J48"/>
    <mergeCell ref="B49:C49"/>
    <mergeCell ref="L49:M49"/>
    <mergeCell ref="B50:C50"/>
    <mergeCell ref="L50:M50"/>
    <mergeCell ref="B51:C51"/>
    <mergeCell ref="L51:M51"/>
    <mergeCell ref="B52:C52"/>
    <mergeCell ref="D52:F52"/>
    <mergeCell ref="H52:J52"/>
    <mergeCell ref="B53:C53"/>
    <mergeCell ref="L53:M53"/>
    <mergeCell ref="B54:C54"/>
    <mergeCell ref="L54:M54"/>
    <mergeCell ref="B55:C55"/>
    <mergeCell ref="L55:M55"/>
    <mergeCell ref="B56:C56"/>
    <mergeCell ref="D56:F56"/>
    <mergeCell ref="H56:J56"/>
    <mergeCell ref="B57:C57"/>
    <mergeCell ref="L57:M57"/>
    <mergeCell ref="B58:C58"/>
    <mergeCell ref="L58:M58"/>
    <mergeCell ref="B59:C59"/>
    <mergeCell ref="L59:M59"/>
    <mergeCell ref="B61:F61"/>
    <mergeCell ref="B62:K62"/>
    <mergeCell ref="L62:M62"/>
    <mergeCell ref="B63:K63"/>
    <mergeCell ref="B64:K64"/>
    <mergeCell ref="B65:K65"/>
    <mergeCell ref="B66:K66"/>
    <mergeCell ref="B67:K67"/>
    <mergeCell ref="B68:K68"/>
    <mergeCell ref="B69:K69"/>
    <mergeCell ref="B70:K70"/>
    <mergeCell ref="B71:K71"/>
    <mergeCell ref="L71:M71"/>
    <mergeCell ref="B72:F72"/>
    <mergeCell ref="B73:K73"/>
    <mergeCell ref="L73:M73"/>
    <mergeCell ref="B74:K74"/>
    <mergeCell ref="B75:K75"/>
    <mergeCell ref="B76:K76"/>
    <mergeCell ref="B77:K77"/>
    <mergeCell ref="B78:K78"/>
    <mergeCell ref="B79:K79"/>
    <mergeCell ref="B80:K80"/>
    <mergeCell ref="B82:K82"/>
    <mergeCell ref="L82:M82"/>
    <mergeCell ref="B83:K83"/>
    <mergeCell ref="B84:K84"/>
    <mergeCell ref="B85:K85"/>
    <mergeCell ref="B86:K86"/>
    <mergeCell ref="L86:M86"/>
    <mergeCell ref="B88:K88"/>
    <mergeCell ref="L88:M88"/>
    <mergeCell ref="B90:N90"/>
    <mergeCell ref="D91:F91"/>
    <mergeCell ref="H91:J91"/>
    <mergeCell ref="B92:C92"/>
    <mergeCell ref="D92:F92"/>
    <mergeCell ref="H92:J92"/>
    <mergeCell ref="B93:C93"/>
    <mergeCell ref="B94:C94"/>
    <mergeCell ref="B95:C95"/>
    <mergeCell ref="B96:C96"/>
    <mergeCell ref="D96:F96"/>
    <mergeCell ref="H96:J96"/>
    <mergeCell ref="B97:C97"/>
    <mergeCell ref="B98:C98"/>
    <mergeCell ref="B99:C99"/>
    <mergeCell ref="B100:C100"/>
    <mergeCell ref="D100:F100"/>
    <mergeCell ref="H100:J100"/>
    <mergeCell ref="B101:C101"/>
    <mergeCell ref="B102:C102"/>
    <mergeCell ref="B103:C103"/>
    <mergeCell ref="B104:C104"/>
    <mergeCell ref="D104:F104"/>
    <mergeCell ref="H104:J104"/>
    <mergeCell ref="B105:C105"/>
    <mergeCell ref="B106:C106"/>
    <mergeCell ref="B107:C107"/>
    <mergeCell ref="B108:C108"/>
    <mergeCell ref="D108:F108"/>
    <mergeCell ref="H108:J108"/>
    <mergeCell ref="B109:C109"/>
    <mergeCell ref="B110:C110"/>
    <mergeCell ref="B111:C111"/>
    <mergeCell ref="B112:C112"/>
    <mergeCell ref="D112:F112"/>
    <mergeCell ref="H112:J112"/>
    <mergeCell ref="B113:C113"/>
    <mergeCell ref="B114:C114"/>
    <mergeCell ref="B115:C115"/>
    <mergeCell ref="B116:C116"/>
    <mergeCell ref="D116:F116"/>
    <mergeCell ref="H116:J116"/>
    <mergeCell ref="B117:C117"/>
    <mergeCell ref="B118:C118"/>
    <mergeCell ref="B119:C119"/>
    <mergeCell ref="B120:C120"/>
    <mergeCell ref="D120:F120"/>
    <mergeCell ref="H120:J120"/>
    <mergeCell ref="B121:C121"/>
    <mergeCell ref="B122:C122"/>
    <mergeCell ref="B123:C123"/>
    <mergeCell ref="B124:C124"/>
    <mergeCell ref="D124:F124"/>
    <mergeCell ref="H124:J124"/>
    <mergeCell ref="B125:C125"/>
    <mergeCell ref="B126:C126"/>
    <mergeCell ref="B127:C127"/>
    <mergeCell ref="B128:C128"/>
    <mergeCell ref="D128:F128"/>
    <mergeCell ref="H128:J128"/>
    <mergeCell ref="B129:C129"/>
    <mergeCell ref="B130:C130"/>
    <mergeCell ref="B131:C131"/>
    <mergeCell ref="B132:C132"/>
    <mergeCell ref="D132:F132"/>
    <mergeCell ref="H132:J132"/>
    <mergeCell ref="B133:C133"/>
    <mergeCell ref="B134:C134"/>
    <mergeCell ref="B135:C135"/>
    <mergeCell ref="B136:C136"/>
    <mergeCell ref="D136:F136"/>
    <mergeCell ref="H136:J136"/>
    <mergeCell ref="B137:C137"/>
    <mergeCell ref="B138:C138"/>
    <mergeCell ref="B139:C139"/>
    <mergeCell ref="B140:C140"/>
    <mergeCell ref="D140:F140"/>
    <mergeCell ref="H140:J140"/>
    <mergeCell ref="B141:C141"/>
    <mergeCell ref="B142:C142"/>
    <mergeCell ref="B143:C143"/>
    <mergeCell ref="C144:F144"/>
    <mergeCell ref="G144:J144"/>
    <mergeCell ref="D145:E145"/>
    <mergeCell ref="H145:I145"/>
    <mergeCell ref="D146:E146"/>
    <mergeCell ref="H146:I146"/>
    <mergeCell ref="D147:E147"/>
    <mergeCell ref="H147:I147"/>
    <mergeCell ref="B149:K149"/>
    <mergeCell ref="L149:M149"/>
    <mergeCell ref="B150:K150"/>
    <mergeCell ref="L150:M150"/>
    <mergeCell ref="B151:K151"/>
    <mergeCell ref="L151:M151"/>
    <mergeCell ref="B154:K154"/>
    <mergeCell ref="L154:M154"/>
    <mergeCell ref="B155:K155"/>
    <mergeCell ref="L155:M155"/>
    <mergeCell ref="B157:K157"/>
    <mergeCell ref="L157:M157"/>
    <mergeCell ref="B159:N159"/>
    <mergeCell ref="B161:N161"/>
    <mergeCell ref="D162:F162"/>
    <mergeCell ref="H162:J162"/>
    <mergeCell ref="B169:C169"/>
    <mergeCell ref="D169:K169"/>
    <mergeCell ref="B170:K170"/>
    <mergeCell ref="B171:K171"/>
    <mergeCell ref="B172:K172"/>
    <mergeCell ref="B173:K173"/>
    <mergeCell ref="B174:K174"/>
    <mergeCell ref="L174:M174"/>
    <mergeCell ref="B176:N176"/>
    <mergeCell ref="B177:K177"/>
    <mergeCell ref="L177:M177"/>
    <mergeCell ref="B178:K178"/>
    <mergeCell ref="L178:M178"/>
    <mergeCell ref="B179:K179"/>
    <mergeCell ref="B180:K180"/>
    <mergeCell ref="B181:K181"/>
    <mergeCell ref="B182:K182"/>
    <mergeCell ref="B183:K183"/>
    <mergeCell ref="L183:M183"/>
    <mergeCell ref="B185:K185"/>
    <mergeCell ref="L185:M185"/>
    <mergeCell ref="B187:N187"/>
    <mergeCell ref="B188:K188"/>
    <mergeCell ref="L188:M188"/>
    <mergeCell ref="B189:K189"/>
    <mergeCell ref="L189:M189"/>
    <mergeCell ref="B190:K190"/>
    <mergeCell ref="B191:K191"/>
    <mergeCell ref="B192:K192"/>
    <mergeCell ref="L192:M192"/>
    <mergeCell ref="B193:K193"/>
    <mergeCell ref="L193:M193"/>
    <mergeCell ref="B194:K194"/>
    <mergeCell ref="L194:M194"/>
    <mergeCell ref="B196:K196"/>
    <mergeCell ref="L196:M196"/>
    <mergeCell ref="B163:B164"/>
    <mergeCell ref="B165:B166"/>
    <mergeCell ref="B167:B168"/>
    <mergeCell ref="O5:O6"/>
    <mergeCell ref="L163:M164"/>
    <mergeCell ref="G167:K168"/>
    <mergeCell ref="L165:M166"/>
    <mergeCell ref="L167:M168"/>
  </mergeCells>
  <conditionalFormatting sqref="H8:K8">
    <cfRule type="cellIs" dxfId="3" priority="35" stopIfTrue="1" operator="notEqual">
      <formula>0</formula>
    </cfRule>
  </conditionalFormatting>
  <conditionalFormatting sqref="H100:K100">
    <cfRule type="cellIs" dxfId="3" priority="25" stopIfTrue="1" operator="greaterThan">
      <formula>0</formula>
    </cfRule>
  </conditionalFormatting>
  <conditionalFormatting sqref="H108:K108">
    <cfRule type="cellIs" dxfId="3" priority="24" stopIfTrue="1" operator="greaterThan">
      <formula>0</formula>
    </cfRule>
  </conditionalFormatting>
  <conditionalFormatting sqref="H112:K112">
    <cfRule type="cellIs" dxfId="3" priority="23" stopIfTrue="1" operator="greaterThan">
      <formula>0</formula>
    </cfRule>
  </conditionalFormatting>
  <conditionalFormatting sqref="H116:K116">
    <cfRule type="cellIs" dxfId="3" priority="22" stopIfTrue="1" operator="greaterThan">
      <formula>0</formula>
    </cfRule>
  </conditionalFormatting>
  <conditionalFormatting sqref="H120:K120">
    <cfRule type="cellIs" dxfId="3" priority="21" stopIfTrue="1" operator="greaterThan">
      <formula>0</formula>
    </cfRule>
  </conditionalFormatting>
  <conditionalFormatting sqref="D124:F124">
    <cfRule type="cellIs" dxfId="3" priority="12" stopIfTrue="1" operator="greaterThan">
      <formula>0</formula>
    </cfRule>
  </conditionalFormatting>
  <conditionalFormatting sqref="H124:K124">
    <cfRule type="cellIs" dxfId="3" priority="11" stopIfTrue="1" operator="greaterThan">
      <formula>0</formula>
    </cfRule>
  </conditionalFormatting>
  <conditionalFormatting sqref="D128:F128">
    <cfRule type="cellIs" dxfId="3" priority="10" stopIfTrue="1" operator="greaterThan">
      <formula>0</formula>
    </cfRule>
  </conditionalFormatting>
  <conditionalFormatting sqref="H128:K128">
    <cfRule type="cellIs" dxfId="3" priority="9" stopIfTrue="1" operator="greaterThan">
      <formula>0</formula>
    </cfRule>
  </conditionalFormatting>
  <conditionalFormatting sqref="D132:F132">
    <cfRule type="cellIs" dxfId="3" priority="8" stopIfTrue="1" operator="greaterThan">
      <formula>0</formula>
    </cfRule>
  </conditionalFormatting>
  <conditionalFormatting sqref="H132:K132">
    <cfRule type="cellIs" dxfId="3" priority="7" stopIfTrue="1" operator="greaterThan">
      <formula>0</formula>
    </cfRule>
  </conditionalFormatting>
  <conditionalFormatting sqref="D136:F136">
    <cfRule type="cellIs" dxfId="3" priority="4" stopIfTrue="1" operator="greaterThan">
      <formula>0</formula>
    </cfRule>
  </conditionalFormatting>
  <conditionalFormatting sqref="H136:K136">
    <cfRule type="cellIs" dxfId="3" priority="3" stopIfTrue="1" operator="greaterThan">
      <formula>0</formula>
    </cfRule>
  </conditionalFormatting>
  <conditionalFormatting sqref="D140:F140">
    <cfRule type="cellIs" dxfId="3" priority="2" stopIfTrue="1" operator="greaterThan">
      <formula>0</formula>
    </cfRule>
  </conditionalFormatting>
  <conditionalFormatting sqref="H140:K140">
    <cfRule type="cellIs" dxfId="3" priority="1" stopIfTrue="1" operator="greaterThan">
      <formula>0</formula>
    </cfRule>
  </conditionalFormatting>
  <conditionalFormatting sqref="D12:F12;D32:F32;D8:F8;H4:K4;H16:K16;D20:F20;D24:F24;D28:F28;D4:F4;H12:K12;D16:F16;D36:F36;H20:K20;H24:K24;H28:K28;H32:K32;D100:F100;D120:F120;D96:F96;D104:F104;D108:F108;D112:F112;D116:F116;D92:F92">
    <cfRule type="cellIs" dxfId="3" priority="34" stopIfTrue="1" operator="greaterThan">
      <formula>0</formula>
    </cfRule>
  </conditionalFormatting>
  <conditionalFormatting sqref="D40:F40;H40:K40">
    <cfRule type="cellIs" dxfId="3" priority="15" stopIfTrue="1" operator="greaterThan">
      <formula>0</formula>
    </cfRule>
  </conditionalFormatting>
  <conditionalFormatting sqref="D44:F44;H44:K44">
    <cfRule type="cellIs" dxfId="3" priority="14" stopIfTrue="1" operator="greaterThan">
      <formula>0</formula>
    </cfRule>
  </conditionalFormatting>
  <conditionalFormatting sqref="D48:F48;H48:K48">
    <cfRule type="cellIs" dxfId="3" priority="13" stopIfTrue="1" operator="greaterThan">
      <formula>0</formula>
    </cfRule>
  </conditionalFormatting>
  <conditionalFormatting sqref="D52:F52;H52:K52">
    <cfRule type="cellIs" dxfId="3" priority="6" stopIfTrue="1" operator="greaterThan">
      <formula>0</formula>
    </cfRule>
  </conditionalFormatting>
  <conditionalFormatting sqref="D56:F56;H56:K56">
    <cfRule type="cellIs" dxfId="3" priority="5" stopIfTrue="1" operator="greaterThan">
      <formula>0</formula>
    </cfRule>
  </conditionalFormatting>
  <conditionalFormatting sqref="H96:K96;H104:K104;H92:K92">
    <cfRule type="cellIs" dxfId="3" priority="26" stopIfTrue="1" operator="greaterThan">
      <formula>0</formula>
    </cfRule>
  </conditionalFormatting>
  <hyperlinks>
    <hyperlink ref="O5:O6" location="'Procedura guidata'!A1" display="Torna alla procedura guidata!"/>
  </hyperlinks>
  <pageMargins left="0.196850393700787" right="0.15748031496063" top="0.275590551181102" bottom="0.275590551181102" header="0.275590551181102" footer="0.236220472440945"/>
  <pageSetup paperSize="9" scale="65" orientation="portrait"/>
  <headerFooter alignWithMargins="0"/>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Foglio1">
    <tabColor rgb="FFFFFF66"/>
    <pageSetUpPr fitToPage="1"/>
  </sheetPr>
  <dimension ref="A1:IP96"/>
  <sheetViews>
    <sheetView showGridLines="0" workbookViewId="0">
      <selection activeCell="I93" sqref="I93"/>
    </sheetView>
  </sheetViews>
  <sheetFormatPr defaultColWidth="0" defaultRowHeight="12.75" zeroHeight="1"/>
  <cols>
    <col min="1" max="1" width="5.71428571428571" customWidth="1"/>
    <col min="2" max="2" width="26.8571428571429" customWidth="1"/>
    <col min="3" max="3" width="14.7142857142857" customWidth="1"/>
    <col min="4" max="7" width="20.7142857142857" customWidth="1"/>
    <col min="8" max="8" width="1.85714285714286" customWidth="1"/>
    <col min="9" max="9" width="18.7142857142857" customWidth="1"/>
    <col min="10" max="28" width="9.14285714285714" hidden="1"/>
    <col min="29" max="29" width="9" hidden="1"/>
    <col min="30" max="251" width="9.14285714285714" hidden="1"/>
    <col min="252" max="252" width="4.14285714285714" hidden="1"/>
    <col min="253" max="253" width="3.42857142857143" hidden="1"/>
    <col min="254" max="254" width="2.85714285714286" hidden="1"/>
    <col min="255" max="16383" width="4.85714285714286" hidden="1"/>
    <col min="16384" max="16384" width="1.42857142857143" hidden="1"/>
  </cols>
  <sheetData>
    <row r="1" s="678" customFormat="1" customHeight="1" spans="1:9">
      <c r="A1" s="680"/>
      <c r="B1" s="681" t="str">
        <f>"Versione 16 (28/08/2015) CONTRIBUTO DI COSTRUZIONE"</f>
        <v>Versione 16 (28/08/2015) CONTRIBUTO DI COSTRUZIONE</v>
      </c>
      <c r="C1" s="681"/>
      <c r="D1" s="681"/>
      <c r="E1" s="681"/>
      <c r="F1" s="681"/>
      <c r="G1" s="681"/>
      <c r="H1" s="681"/>
      <c r="I1" s="680"/>
    </row>
    <row r="2" s="679" customFormat="1" customHeight="1" spans="1:9">
      <c r="A2" s="200"/>
      <c r="B2" s="682" t="s">
        <v>98</v>
      </c>
      <c r="C2" s="683"/>
      <c r="D2" s="683"/>
      <c r="E2" s="683"/>
      <c r="F2" s="683"/>
      <c r="G2" s="683"/>
      <c r="H2" s="684"/>
      <c r="I2"/>
    </row>
    <row r="3" s="678" customFormat="1" customHeight="1" spans="1:9">
      <c r="A3" s="685"/>
      <c r="B3" s="686" t="s">
        <v>99</v>
      </c>
      <c r="C3" s="687"/>
      <c r="D3" s="687"/>
      <c r="E3" s="687"/>
      <c r="F3" s="688"/>
      <c r="G3" s="689" t="s">
        <v>100</v>
      </c>
      <c r="H3" s="690"/>
      <c r="I3"/>
    </row>
    <row r="4" s="678" customFormat="1" customHeight="1" spans="1:9">
      <c r="A4" s="685"/>
      <c r="B4" s="691" t="str">
        <f>IF(ZonaTerritoriale&lt;&gt;"",INDEX(Parametri_ElencoZoneTerritorialiDesc,MATCH(ZonaTerritoriale,ElencoZoneTerritoriali,0),1),"")</f>
        <v>Inserire zona urbanistica da PGT</v>
      </c>
      <c r="C4" s="692"/>
      <c r="D4" s="692"/>
      <c r="E4" s="692"/>
      <c r="F4" s="693"/>
      <c r="G4" s="689"/>
      <c r="H4" s="690"/>
      <c r="I4"/>
    </row>
    <row r="5" s="678" customFormat="1" customHeight="1" spans="1:9">
      <c r="A5" s="685"/>
      <c r="B5" s="694" t="s">
        <v>101</v>
      </c>
      <c r="C5" s="695"/>
      <c r="D5" s="695"/>
      <c r="E5" s="695"/>
      <c r="F5" s="696"/>
      <c r="G5" s="689" t="s">
        <v>102</v>
      </c>
      <c r="H5" s="690"/>
      <c r="I5"/>
    </row>
    <row r="6" s="678" customFormat="1" customHeight="1" spans="1:9">
      <c r="A6" s="685"/>
      <c r="B6" s="694" t="s">
        <v>103</v>
      </c>
      <c r="C6" s="695"/>
      <c r="D6" s="695"/>
      <c r="E6" s="695"/>
      <c r="F6" s="696"/>
      <c r="G6" s="697">
        <v>0</v>
      </c>
      <c r="H6" s="690"/>
      <c r="I6" s="549" t="s">
        <v>30</v>
      </c>
    </row>
    <row r="7" s="678" customFormat="1" customHeight="1" spans="1:9">
      <c r="A7" s="698"/>
      <c r="B7" s="694" t="s">
        <v>104</v>
      </c>
      <c r="C7" s="695"/>
      <c r="D7" s="695"/>
      <c r="E7" s="695"/>
      <c r="F7" s="696"/>
      <c r="G7" s="689" t="s">
        <v>102</v>
      </c>
      <c r="H7" s="699"/>
      <c r="I7" s="549"/>
    </row>
    <row r="8" s="678" customFormat="1" hidden="1" customHeight="1" spans="1:9">
      <c r="A8" s="698"/>
      <c r="B8" s="694" t="s">
        <v>105</v>
      </c>
      <c r="C8" s="695"/>
      <c r="D8" s="695"/>
      <c r="E8" s="695"/>
      <c r="F8" s="696"/>
      <c r="G8" s="689" t="s">
        <v>102</v>
      </c>
      <c r="H8" s="699"/>
      <c r="I8" s="698"/>
    </row>
    <row r="9" s="678" customFormat="1" customHeight="1" spans="1:9">
      <c r="A9" s="698"/>
      <c r="B9" s="694" t="s">
        <v>106</v>
      </c>
      <c r="C9" s="695"/>
      <c r="D9" s="695"/>
      <c r="E9" s="695"/>
      <c r="F9" s="696"/>
      <c r="G9" s="689" t="s">
        <v>102</v>
      </c>
      <c r="H9" s="699"/>
      <c r="I9" s="698"/>
    </row>
    <row r="10" s="678" customFormat="1" customHeight="1" spans="1:9">
      <c r="A10" s="698"/>
      <c r="B10" s="694" t="s">
        <v>107</v>
      </c>
      <c r="C10" s="695"/>
      <c r="D10" s="695"/>
      <c r="E10" s="695"/>
      <c r="F10" s="696"/>
      <c r="G10" s="689" t="s">
        <v>102</v>
      </c>
      <c r="H10" s="699"/>
      <c r="I10" s="698"/>
    </row>
    <row r="11" s="678" customFormat="1" customHeight="1" spans="1:9">
      <c r="A11" s="698"/>
      <c r="B11" s="694" t="s">
        <v>108</v>
      </c>
      <c r="C11" s="695"/>
      <c r="D11" s="695"/>
      <c r="E11" s="695"/>
      <c r="F11" s="696"/>
      <c r="G11" s="700" t="s">
        <v>102</v>
      </c>
      <c r="H11" s="699"/>
      <c r="I11" s="698"/>
    </row>
    <row r="12" s="678" customFormat="1" hidden="1" customHeight="1" spans="1:9">
      <c r="A12" s="698"/>
      <c r="B12" s="701" t="s">
        <v>109</v>
      </c>
      <c r="C12" s="702"/>
      <c r="D12" s="702"/>
      <c r="E12" s="702"/>
      <c r="F12" s="703"/>
      <c r="G12" s="689" t="s">
        <v>102</v>
      </c>
      <c r="H12" s="699"/>
      <c r="I12" s="698"/>
    </row>
    <row r="13" s="678" customFormat="1" customHeight="1" spans="1:9">
      <c r="A13" s="698"/>
      <c r="B13" s="701" t="s">
        <v>110</v>
      </c>
      <c r="C13" s="702"/>
      <c r="D13" s="702"/>
      <c r="E13" s="702"/>
      <c r="F13" s="703"/>
      <c r="G13" s="704">
        <v>0</v>
      </c>
      <c r="H13" s="699"/>
      <c r="I13" s="698"/>
    </row>
    <row r="14" s="678" customFormat="1" customHeight="1" spans="1:9">
      <c r="A14" s="201"/>
      <c r="B14" s="705"/>
      <c r="C14" s="706"/>
      <c r="D14" s="706"/>
      <c r="E14" s="706"/>
      <c r="F14" s="706"/>
      <c r="G14" s="706"/>
      <c r="H14" s="707"/>
      <c r="I14" s="753" t="b">
        <f>IF(AND(selezione_passo_descrizione_intervento="x",selezione_nuova_costruzione="o",selezione_ampliamento="o",selezione_ristrutturazione="o",selezione_cambio_uso="o",selezione_sottotetti="o"),FALSE,TRUE)</f>
        <v>1</v>
      </c>
    </row>
    <row r="15" s="678" customFormat="1" customHeight="1" spans="1:9">
      <c r="A15" s="201"/>
      <c r="B15" s="49"/>
      <c r="C15" s="49"/>
      <c r="D15" s="49"/>
      <c r="E15" s="49"/>
      <c r="F15" s="49"/>
      <c r="G15" s="49"/>
      <c r="H15" s="49"/>
      <c r="I15" s="49"/>
    </row>
    <row r="16" s="678" customFormat="1" customHeight="1" spans="1:9">
      <c r="A16" s="201"/>
      <c r="B16" s="682" t="s">
        <v>41</v>
      </c>
      <c r="C16" s="683"/>
      <c r="D16" s="683"/>
      <c r="E16" s="683"/>
      <c r="F16" s="683"/>
      <c r="G16" s="683"/>
      <c r="H16" s="684"/>
      <c r="I16" s="201"/>
    </row>
    <row r="17" s="678" customFormat="1" customHeight="1" spans="1:9">
      <c r="A17" s="201"/>
      <c r="B17" s="708" t="s">
        <v>111</v>
      </c>
      <c r="C17" s="709"/>
      <c r="D17" s="709"/>
      <c r="E17" s="709"/>
      <c r="F17" s="710"/>
      <c r="G17" s="689" t="s">
        <v>112</v>
      </c>
      <c r="H17" s="690"/>
      <c r="I17" s="201"/>
    </row>
    <row r="18" s="678" customFormat="1" customHeight="1" spans="1:9">
      <c r="A18" s="201"/>
      <c r="B18" s="694" t="s">
        <v>113</v>
      </c>
      <c r="C18" s="695"/>
      <c r="D18" s="695"/>
      <c r="E18" s="695"/>
      <c r="F18" s="696"/>
      <c r="G18" s="689" t="s">
        <v>112</v>
      </c>
      <c r="H18" s="690"/>
      <c r="I18" s="201"/>
    </row>
    <row r="19" s="678" customFormat="1" customHeight="1" spans="1:9">
      <c r="A19" s="201"/>
      <c r="B19" s="694" t="s">
        <v>114</v>
      </c>
      <c r="C19" s="695"/>
      <c r="D19" s="695"/>
      <c r="E19" s="695"/>
      <c r="F19" s="696"/>
      <c r="G19" s="697">
        <v>0</v>
      </c>
      <c r="H19" s="690"/>
      <c r="I19" s="201"/>
    </row>
    <row r="20" s="678" customFormat="1" customHeight="1" spans="1:9">
      <c r="A20" s="201"/>
      <c r="B20" s="694" t="s">
        <v>115</v>
      </c>
      <c r="C20" s="695"/>
      <c r="D20" s="695"/>
      <c r="E20" s="695"/>
      <c r="F20" s="696"/>
      <c r="G20" s="697">
        <v>0</v>
      </c>
      <c r="H20" s="690"/>
      <c r="I20" s="201"/>
    </row>
    <row r="21" s="678" customFormat="1" customHeight="1" spans="1:9">
      <c r="A21" s="201"/>
      <c r="B21" s="694" t="s">
        <v>116</v>
      </c>
      <c r="C21" s="695"/>
      <c r="D21" s="695"/>
      <c r="E21" s="695"/>
      <c r="F21" s="696"/>
      <c r="G21" s="697">
        <v>0</v>
      </c>
      <c r="H21" s="690"/>
      <c r="I21" s="201"/>
    </row>
    <row r="22" s="678" customFormat="1" customHeight="1" spans="1:9">
      <c r="A22" s="201"/>
      <c r="B22" s="694" t="s">
        <v>117</v>
      </c>
      <c r="C22" s="695"/>
      <c r="D22" s="695"/>
      <c r="E22" s="695"/>
      <c r="F22" s="696"/>
      <c r="G22" s="697">
        <v>0</v>
      </c>
      <c r="H22" s="690"/>
      <c r="I22" s="201"/>
    </row>
    <row r="23" s="678" customFormat="1" customHeight="1" spans="1:9">
      <c r="A23" s="201"/>
      <c r="B23" s="694" t="s">
        <v>118</v>
      </c>
      <c r="C23" s="695"/>
      <c r="D23" s="695"/>
      <c r="E23" s="695"/>
      <c r="F23" s="696"/>
      <c r="G23" s="697">
        <v>0</v>
      </c>
      <c r="H23" s="690"/>
      <c r="I23" s="201"/>
    </row>
    <row r="24" s="678" customFormat="1" customHeight="1" spans="1:9">
      <c r="A24" s="201"/>
      <c r="B24" s="711"/>
      <c r="C24" s="712"/>
      <c r="D24" s="712"/>
      <c r="E24" s="712"/>
      <c r="F24" s="712"/>
      <c r="G24" s="713"/>
      <c r="H24" s="690"/>
      <c r="I24" s="201"/>
    </row>
    <row r="25" s="679" customFormat="1" customHeight="1" spans="1:9">
      <c r="A25" s="200"/>
      <c r="B25" s="714" t="s">
        <v>119</v>
      </c>
      <c r="C25" s="715"/>
      <c r="D25" s="715"/>
      <c r="E25" s="715"/>
      <c r="F25" s="715"/>
      <c r="G25" s="715"/>
      <c r="H25" s="716"/>
      <c r="I25" s="200"/>
    </row>
    <row r="26" s="678" customFormat="1" customHeight="1" spans="1:9">
      <c r="A26" s="201"/>
      <c r="B26" s="717" t="s">
        <v>120</v>
      </c>
      <c r="C26" s="718"/>
      <c r="D26" s="718"/>
      <c r="E26" s="718"/>
      <c r="F26" s="718"/>
      <c r="G26" s="719" t="s">
        <v>121</v>
      </c>
      <c r="H26" s="690"/>
      <c r="I26" s="201"/>
    </row>
    <row r="27" s="678" customFormat="1" customHeight="1" spans="1:9">
      <c r="A27" s="201"/>
      <c r="B27" s="708" t="str">
        <f>Parametri_DestUsoPersonalizzazione1</f>
        <v>Residenziale</v>
      </c>
      <c r="C27" s="709"/>
      <c r="D27" s="709"/>
      <c r="E27" s="709"/>
      <c r="F27" s="710"/>
      <c r="G27" s="720">
        <v>0</v>
      </c>
      <c r="H27" s="690"/>
      <c r="I27" s="753" t="b">
        <f>IF(AND(selezione_passo_descrizione_intervento="x",selezione_nuova_costruzione="o",selezione_ampliamento="o"),FALSE,TRUE)</f>
        <v>1</v>
      </c>
    </row>
    <row r="28" s="678" customFormat="1" customHeight="1" spans="1:9">
      <c r="A28" s="201"/>
      <c r="B28" s="694" t="str">
        <f>Parametri_DestUsoPersonalizzazione2</f>
        <v>Commerciale direzionale</v>
      </c>
      <c r="C28" s="695"/>
      <c r="D28" s="695"/>
      <c r="E28" s="695"/>
      <c r="F28" s="696"/>
      <c r="G28" s="721">
        <v>0</v>
      </c>
      <c r="H28" s="690"/>
      <c r="I28" s="201"/>
    </row>
    <row r="29" s="678" customFormat="1" customHeight="1" spans="1:9">
      <c r="A29" s="201"/>
      <c r="B29" s="694" t="str">
        <f>Parametri_DestUsoPersonalizzazione3</f>
        <v>Industria </v>
      </c>
      <c r="C29" s="695"/>
      <c r="D29" s="695"/>
      <c r="E29" s="695"/>
      <c r="F29" s="696"/>
      <c r="G29" s="721">
        <v>0</v>
      </c>
      <c r="H29" s="690"/>
      <c r="I29" s="201"/>
    </row>
    <row r="30" s="678" customFormat="1" customHeight="1" spans="1:9">
      <c r="A30" s="201"/>
      <c r="B30" s="694" t="str">
        <f>Parametri_DestUsoPersonalizzazione4</f>
        <v>Industriale alberghiera </v>
      </c>
      <c r="C30" s="695"/>
      <c r="D30" s="695"/>
      <c r="E30" s="695"/>
      <c r="F30" s="696"/>
      <c r="G30" s="721">
        <v>0</v>
      </c>
      <c r="H30" s="690"/>
      <c r="I30" s="201"/>
    </row>
    <row r="31" s="678" customFormat="1" customHeight="1" spans="1:9">
      <c r="A31" s="201"/>
      <c r="B31" s="694" t="str">
        <f>Parametri_DestUsoPersonalizzazione5</f>
        <v>Parcheggi, silos (posto auto)</v>
      </c>
      <c r="C31" s="695"/>
      <c r="D31" s="695"/>
      <c r="E31" s="695"/>
      <c r="F31" s="696"/>
      <c r="G31" s="722">
        <v>0</v>
      </c>
      <c r="H31" s="690"/>
      <c r="I31" s="201"/>
    </row>
    <row r="32" s="678" customFormat="1" customHeight="1" spans="1:9">
      <c r="A32" s="201"/>
      <c r="B32" s="694" t="str">
        <f>Parametri_DestUsoPersonalizzazione6</f>
        <v>Attrezzature culturali e sanitarie</v>
      </c>
      <c r="C32" s="695"/>
      <c r="D32" s="695"/>
      <c r="E32" s="695"/>
      <c r="F32" s="696"/>
      <c r="G32" s="721">
        <v>0</v>
      </c>
      <c r="H32" s="690"/>
      <c r="I32" s="201"/>
    </row>
    <row r="33" s="678" customFormat="1" customHeight="1" spans="1:9">
      <c r="A33" s="201"/>
      <c r="B33" s="694" t="str">
        <f>Parametri_DestUsoPersonalizzazione7</f>
        <v>Attrezzature sportive</v>
      </c>
      <c r="C33" s="695"/>
      <c r="D33" s="695"/>
      <c r="E33" s="695"/>
      <c r="F33" s="696"/>
      <c r="G33" s="721">
        <v>0</v>
      </c>
      <c r="H33" s="690"/>
      <c r="I33" s="201"/>
    </row>
    <row r="34" s="678" customFormat="1" customHeight="1" spans="1:9">
      <c r="A34" s="201"/>
      <c r="B34" s="694" t="str">
        <f>Parametri_DestUsoPersonalizzazione8</f>
        <v>Attrezzature spettacolo</v>
      </c>
      <c r="C34" s="695"/>
      <c r="D34" s="695"/>
      <c r="E34" s="695"/>
      <c r="F34" s="696"/>
      <c r="G34" s="721">
        <v>0</v>
      </c>
      <c r="H34" s="690"/>
      <c r="I34" s="201"/>
    </row>
    <row r="35" s="678" customFormat="1" customHeight="1" spans="1:9">
      <c r="A35" s="201"/>
      <c r="B35" s="694" t="str">
        <f>Parametri_DestUsoPersonalizzazione9</f>
        <v>Artigianato</v>
      </c>
      <c r="C35" s="695"/>
      <c r="D35" s="695"/>
      <c r="E35" s="695"/>
      <c r="F35" s="696"/>
      <c r="G35" s="721">
        <v>0</v>
      </c>
      <c r="H35" s="690"/>
      <c r="I35" s="201"/>
    </row>
    <row r="36" s="678" customFormat="1" customHeight="1" spans="1:9">
      <c r="A36" s="201"/>
      <c r="B36" s="694" t="str">
        <f>Parametri_DestUsoPersonalizzazione10</f>
        <v>Campeggi (€/utente)</v>
      </c>
      <c r="C36" s="695"/>
      <c r="D36" s="695"/>
      <c r="E36" s="695"/>
      <c r="F36" s="696"/>
      <c r="G36" s="721">
        <v>0</v>
      </c>
      <c r="H36" s="690"/>
      <c r="I36" s="201"/>
    </row>
    <row r="37" s="678" customFormat="1" hidden="1" customHeight="1" spans="1:9">
      <c r="A37" s="201"/>
      <c r="B37" s="694" t="str">
        <f>Parametri_DestUsoPersonalizzazione11</f>
        <v>Destinazione ulteriore 3</v>
      </c>
      <c r="C37" s="695"/>
      <c r="D37" s="695"/>
      <c r="E37" s="695"/>
      <c r="F37" s="696"/>
      <c r="G37" s="721">
        <v>0</v>
      </c>
      <c r="H37" s="690"/>
      <c r="I37" s="201"/>
    </row>
    <row r="38" s="678" customFormat="1" hidden="1" customHeight="1" spans="1:9">
      <c r="A38" s="201"/>
      <c r="B38" s="694" t="str">
        <f>Parametri_DestUsoPersonalizzazione12</f>
        <v>Destinazione ulteriore 4</v>
      </c>
      <c r="C38" s="695"/>
      <c r="D38" s="695"/>
      <c r="E38" s="695"/>
      <c r="F38" s="696"/>
      <c r="G38" s="721">
        <v>0</v>
      </c>
      <c r="H38" s="690"/>
      <c r="I38" s="201"/>
    </row>
    <row r="39" s="678" customFormat="1" hidden="1" customHeight="1" spans="1:9">
      <c r="A39" s="201"/>
      <c r="B39" s="694" t="str">
        <f>Parametri_DestUsoPersonalizzazione13</f>
        <v>Destinazione ulteriore 5</v>
      </c>
      <c r="C39" s="695"/>
      <c r="D39" s="695"/>
      <c r="E39" s="695"/>
      <c r="F39" s="696"/>
      <c r="G39" s="721">
        <v>0</v>
      </c>
      <c r="H39" s="690"/>
      <c r="I39" s="201"/>
    </row>
    <row r="40" s="678" customFormat="1" customHeight="1" spans="1:9">
      <c r="A40" s="201"/>
      <c r="B40" s="711"/>
      <c r="C40" s="723"/>
      <c r="D40" s="723"/>
      <c r="E40" s="723"/>
      <c r="F40" s="723"/>
      <c r="G40" s="724"/>
      <c r="H40" s="690"/>
      <c r="I40" s="201"/>
    </row>
    <row r="41" s="678" customFormat="1" customHeight="1" spans="1:9">
      <c r="A41" s="201"/>
      <c r="B41" s="725" t="s">
        <v>122</v>
      </c>
      <c r="C41" s="726"/>
      <c r="D41" s="726"/>
      <c r="E41" s="726"/>
      <c r="F41" s="726"/>
      <c r="G41" s="726"/>
      <c r="H41" s="727"/>
      <c r="I41" s="201"/>
    </row>
    <row r="42" s="678" customFormat="1" customHeight="1" spans="1:9">
      <c r="A42" s="201"/>
      <c r="B42" s="728" t="s">
        <v>120</v>
      </c>
      <c r="C42" s="729"/>
      <c r="D42" s="729"/>
      <c r="E42" s="729"/>
      <c r="F42" s="729"/>
      <c r="G42" s="729"/>
      <c r="H42" s="730"/>
      <c r="I42" s="201"/>
    </row>
    <row r="43" s="678" customFormat="1" customHeight="1" spans="1:9">
      <c r="A43" s="201"/>
      <c r="B43" s="708" t="s">
        <v>86</v>
      </c>
      <c r="C43" s="709"/>
      <c r="D43" s="709"/>
      <c r="E43" s="709"/>
      <c r="F43" s="710"/>
      <c r="G43" s="731">
        <v>0</v>
      </c>
      <c r="H43" s="690"/>
      <c r="I43" s="753" t="b">
        <f>IF(AND(selezione_passo_descrizione_intervento="x",selezione_sottotetti="o"),FALSE,TRUE)</f>
        <v>1</v>
      </c>
    </row>
    <row r="44" s="678" customFormat="1" customHeight="1" spans="1:9">
      <c r="A44" s="201"/>
      <c r="B44" s="711"/>
      <c r="C44" s="732"/>
      <c r="D44" s="732"/>
      <c r="E44" s="719"/>
      <c r="F44" s="719"/>
      <c r="G44" s="733"/>
      <c r="H44" s="690"/>
      <c r="I44" s="201"/>
    </row>
    <row r="45" s="678" customFormat="1" customHeight="1" spans="1:9">
      <c r="A45" s="201"/>
      <c r="B45" s="725" t="s">
        <v>123</v>
      </c>
      <c r="C45" s="726"/>
      <c r="D45" s="726"/>
      <c r="E45" s="726"/>
      <c r="F45" s="726"/>
      <c r="G45" s="726"/>
      <c r="H45" s="727"/>
      <c r="I45" s="201"/>
    </row>
    <row r="46" s="678" customFormat="1" customHeight="1" spans="1:9">
      <c r="A46" s="201"/>
      <c r="B46" s="734"/>
      <c r="C46" s="49"/>
      <c r="D46" s="49"/>
      <c r="E46" s="735" t="s">
        <v>124</v>
      </c>
      <c r="F46" s="736" t="s">
        <v>125</v>
      </c>
      <c r="G46" s="736"/>
      <c r="H46" s="690"/>
      <c r="I46" s="201"/>
    </row>
    <row r="47" s="678" customFormat="1" customHeight="1" spans="1:9">
      <c r="A47" s="698"/>
      <c r="B47" s="708" t="str">
        <f>"L'intervento implica una maggiorazione pari a "&amp;Parametri_MaggiorazioneAreeAgric&amp;"%"</f>
        <v>L'intervento implica una maggiorazione pari a 5%</v>
      </c>
      <c r="C47" s="710"/>
      <c r="D47" s="737" t="s">
        <v>102</v>
      </c>
      <c r="E47" s="721">
        <v>0</v>
      </c>
      <c r="F47" s="721">
        <v>0</v>
      </c>
      <c r="G47" s="738">
        <f>IF(ISERROR(Ou_NuovaEd_AreaAgricolaSupAreaAg/Ou_NuovaEd_AreaAgricolaSupLotto),1,(Ou_NuovaEd_AreaAgricolaSupAreaAg/Ou_NuovaEd_AreaAgricolaSupLotto))</f>
        <v>1</v>
      </c>
      <c r="H47" s="699"/>
      <c r="I47" s="698"/>
    </row>
    <row r="48" s="678" customFormat="1" customHeight="1" spans="1:9">
      <c r="A48" s="698"/>
      <c r="B48" s="739"/>
      <c r="C48"/>
      <c r="D48"/>
      <c r="E48"/>
      <c r="F48"/>
      <c r="G48"/>
      <c r="H48" s="699"/>
      <c r="I48" s="698"/>
    </row>
    <row r="49" s="679" customFormat="1" customHeight="1" spans="1:9">
      <c r="A49" s="200"/>
      <c r="B49" s="714" t="s">
        <v>126</v>
      </c>
      <c r="C49" s="715"/>
      <c r="D49" s="715"/>
      <c r="E49" s="715"/>
      <c r="F49" s="715"/>
      <c r="G49" s="715"/>
      <c r="H49" s="716"/>
      <c r="I49" s="200"/>
    </row>
    <row r="50" s="678" customFormat="1" customHeight="1" spans="1:9">
      <c r="A50" s="201"/>
      <c r="B50" s="717" t="s">
        <v>120</v>
      </c>
      <c r="C50" s="718"/>
      <c r="D50" s="740" t="s">
        <v>127</v>
      </c>
      <c r="E50" s="740" t="s">
        <v>128</v>
      </c>
      <c r="F50" s="740" t="s">
        <v>129</v>
      </c>
      <c r="G50" s="740" t="s">
        <v>130</v>
      </c>
      <c r="H50" s="690"/>
      <c r="I50" s="201"/>
    </row>
    <row r="51" s="678" customFormat="1" customHeight="1" spans="1:9">
      <c r="A51" s="201"/>
      <c r="B51" s="708" t="str">
        <f>Parametri_DestUsoPersonalizzazione1</f>
        <v>Residenziale</v>
      </c>
      <c r="C51" s="710"/>
      <c r="D51" s="741">
        <v>0</v>
      </c>
      <c r="E51" s="742">
        <f>IF(Ou_Rist_Res_CompMet&gt;0,Ou_Rist_Res_CompMet/CostoBase_NuovaEdif*4,Ou_Rist_Res_ParReale)</f>
        <v>0</v>
      </c>
      <c r="F51" s="743">
        <v>0</v>
      </c>
      <c r="G51" s="744">
        <f>IF(Ou_Rist_Res_ParReale&gt;0,MIN(Ou_Rist_Res_ParReale,Ou_Rist_Res_ParVirt),Ou_Rist_Res_ParVirt)</f>
        <v>0</v>
      </c>
      <c r="H51" s="690"/>
      <c r="I51" s="753" t="b">
        <f>IF(AND(selezione_passo_descrizione_intervento="x",selezione_ristrutturazione="o"),FALSE,TRUE)</f>
        <v>1</v>
      </c>
    </row>
    <row r="52" s="678" customFormat="1" customHeight="1" spans="1:9">
      <c r="A52" s="201"/>
      <c r="B52" s="694" t="str">
        <f>Parametri_DestUsoPersonalizzazione2</f>
        <v>Commerciale direzionale</v>
      </c>
      <c r="C52" s="696"/>
      <c r="D52" s="745">
        <v>0</v>
      </c>
      <c r="E52" s="746">
        <f>IF(Ou_Rist_Com_CompMet&gt;0,Ou_Rist_Com_CompMet/CostoBase_NuovaEdif,Ou_Rist_Com_ParReale)</f>
        <v>0</v>
      </c>
      <c r="F52" s="743">
        <v>0</v>
      </c>
      <c r="G52" s="747">
        <f>IF(Ou_Rist_Com_ParReale&gt;0,MIN(Ou_Rist_Com_ParReale,Ou_Rist_Com_ParVirt),Ou_Rist_Com_ParVirt)</f>
        <v>0</v>
      </c>
      <c r="H52" s="690"/>
      <c r="I52" s="201"/>
    </row>
    <row r="53" s="678" customFormat="1" customHeight="1" spans="1:9">
      <c r="A53" s="201"/>
      <c r="B53" s="694" t="str">
        <f>Parametri_DestUsoPersonalizzazione3</f>
        <v>Industria </v>
      </c>
      <c r="C53" s="696"/>
      <c r="D53" s="748">
        <v>0</v>
      </c>
      <c r="E53" s="746">
        <f>IF(Ou_Rist_IndArt_CompMet&gt;0,Ou_Rist_IndArt_CompMet/CostoBase_NuovaEdif,Ou_Rist_IndArt_ParReale)</f>
        <v>0</v>
      </c>
      <c r="F53" s="743">
        <v>0</v>
      </c>
      <c r="G53" s="747">
        <f>IF(Ou_Rist_IndArt_ParReale&gt;0,MIN(Ou_Rist_IndArt_ParReale,Ou_Rist_IndArt_ParVirt),Ou_Rist_IndArt_ParVirt)</f>
        <v>0</v>
      </c>
      <c r="H53" s="690"/>
      <c r="I53" s="201"/>
    </row>
    <row r="54" s="678" customFormat="1" customHeight="1" spans="1:9">
      <c r="A54" s="201"/>
      <c r="B54" s="694" t="str">
        <f>Parametri_DestUsoPersonalizzazione4</f>
        <v>Industriale alberghiera </v>
      </c>
      <c r="C54" s="696"/>
      <c r="D54" s="745">
        <v>0</v>
      </c>
      <c r="E54" s="746">
        <f>IF(Ou_Rist_IndAlb_CompMet&gt;0,Ou_Rist_IndAlb_CompMet/CostoBase_NuovaEdif,Ou_Rist_IndAlb_ParReale)</f>
        <v>0</v>
      </c>
      <c r="F54" s="743">
        <v>0</v>
      </c>
      <c r="G54" s="747">
        <f>IF(Ou_Rist_IndAlb_ParReale&gt;0,MIN(Ou_Rist_IndAlb_ParReale,Ou_Rist_IndAlb_ParVirt),Ou_Rist_IndAlb_ParVirt)</f>
        <v>0</v>
      </c>
      <c r="H54" s="690"/>
      <c r="I54" s="201"/>
    </row>
    <row r="55" s="678" customFormat="1" customHeight="1" spans="1:9">
      <c r="A55" s="201"/>
      <c r="B55" s="694" t="str">
        <f>Parametri_DestUsoPersonalizzazione5</f>
        <v>Parcheggi, silos (posto auto)</v>
      </c>
      <c r="C55" s="696"/>
      <c r="D55" s="749">
        <v>0</v>
      </c>
      <c r="E55" s="746">
        <f>IF(Ou_Rist_ParSil_CompMet&gt;0,Ou_Rist_ParSil_CompMet/CostoBase_NuovaEdif,Ou_Rist_ParSil_ParReale)</f>
        <v>0</v>
      </c>
      <c r="F55" s="743">
        <v>0</v>
      </c>
      <c r="G55" s="747">
        <f>IF(Ou_Rist_ParSil_ParReale&gt;0,MIN(Ou_Rist_ParSil_ParReale,Ou_Rist_ParSil_ParVirt),Ou_Rist_ParSil_ParVirt)</f>
        <v>0</v>
      </c>
      <c r="H55" s="690"/>
      <c r="I55" s="201"/>
    </row>
    <row r="56" s="678" customFormat="1" customHeight="1" spans="1:9">
      <c r="A56" s="201"/>
      <c r="B56" s="694" t="str">
        <f>Parametri_DestUsoPersonalizzazione6</f>
        <v>Attrezzature culturali e sanitarie</v>
      </c>
      <c r="C56" s="696"/>
      <c r="D56" s="745">
        <v>0</v>
      </c>
      <c r="E56" s="746">
        <f>IF(Ou_Rist_CultSan_CompMet&gt;0,Ou_Rist_CultSan_CompMet/CostoBase_NuovaEdif,Ou_Rist_CultSan_ParReale)</f>
        <v>0</v>
      </c>
      <c r="F56" s="743">
        <v>0</v>
      </c>
      <c r="G56" s="747">
        <f>IF(Ou_Rist_CultSan_ParReale&gt;0,MIN(Ou_Rist_CultSan_ParReale,Ou_Rist_CultSan_ParVirt),Ou_Rist_CultSan_ParVirt)</f>
        <v>0</v>
      </c>
      <c r="H56" s="690"/>
      <c r="I56" s="201"/>
    </row>
    <row r="57" s="678" customFormat="1" customHeight="1" spans="1:9">
      <c r="A57" s="201"/>
      <c r="B57" s="694" t="str">
        <f>Parametri_DestUsoPersonalizzazione7</f>
        <v>Attrezzature sportive</v>
      </c>
      <c r="C57" s="696"/>
      <c r="D57" s="748">
        <v>0</v>
      </c>
      <c r="E57" s="746">
        <f>IF(Ou_Rist_AttSpor_CompMet&gt;0,Ou_Rist_AttSpor_CompMet/CostoBase_NuovaEdif,Ou_Rist_AttSpor_ParReale)</f>
        <v>0</v>
      </c>
      <c r="F57" s="743">
        <v>0</v>
      </c>
      <c r="G57" s="747">
        <f>IF(Ou_Rist_AttSpor_ParReale&gt;0,MIN(Ou_Rist_AttSpor_ParReale,Ou_Rist_AttSpor_ParVirt),Ou_Rist_AttSpor_ParVirt)</f>
        <v>0</v>
      </c>
      <c r="H57" s="690"/>
      <c r="I57" s="201"/>
    </row>
    <row r="58" s="678" customFormat="1" customHeight="1" spans="1:9">
      <c r="A58" s="201"/>
      <c r="B58" s="694" t="str">
        <f>Parametri_DestUsoPersonalizzazione8</f>
        <v>Attrezzature spettacolo</v>
      </c>
      <c r="C58" s="696"/>
      <c r="D58" s="745">
        <v>0</v>
      </c>
      <c r="E58" s="746">
        <f>IF(Ou_Rist_AttSpet_CompMet&gt;0,Ou_Rist_AttSpet_CompMet/CostoBase_NuovaEdif,Ou_Rist_AttSpet_ParReale)</f>
        <v>0</v>
      </c>
      <c r="F58" s="743">
        <v>0</v>
      </c>
      <c r="G58" s="747">
        <f>IF(Ou_Rist_AttSpet_ParReale&gt;0,MIN(Ou_Rist_AttSpet_ParReale,Ou_Rist_AttSpet_ParVirt),Ou_Rist_AttSpet_ParVirt)</f>
        <v>0</v>
      </c>
      <c r="H58" s="690"/>
      <c r="I58" s="201"/>
    </row>
    <row r="59" s="678" customFormat="1" customHeight="1" spans="1:9">
      <c r="A59" s="201"/>
      <c r="B59" s="694" t="str">
        <f>Parametri_DestUsoPersonalizzazione9</f>
        <v>Artigianato</v>
      </c>
      <c r="C59" s="696"/>
      <c r="D59" s="748">
        <v>0</v>
      </c>
      <c r="E59" s="746">
        <f>IF(Ou_Rist_Personalizzazione1_CompMet&gt;0,Ou_Rist_Personalizzazione1_CompMet/CostoBase_NuovaEdif,Ou_Rist_Personalizzazione1_ParReale)</f>
        <v>0</v>
      </c>
      <c r="F59" s="743">
        <v>0</v>
      </c>
      <c r="G59" s="747">
        <f>IF(Ou_Rist_Personalizzazione1_ParReale&gt;0,MIN(Ou_Rist_Personalizzazione1_ParReale,Ou_Rist_Personalizzazione1_ParVirt),Ou_Rist_Personalizzazione1_ParVirt)</f>
        <v>0</v>
      </c>
      <c r="H59" s="690"/>
      <c r="I59" s="201"/>
    </row>
    <row r="60" s="678" customFormat="1" customHeight="1" spans="1:9">
      <c r="A60" s="201"/>
      <c r="B60" s="694" t="str">
        <f>Parametri_DestUsoPersonalizzazione10</f>
        <v>Campeggi (€/utente)</v>
      </c>
      <c r="C60" s="696"/>
      <c r="D60" s="745">
        <v>0</v>
      </c>
      <c r="E60" s="746">
        <f>IF(Ou_Rist_Personalizzazione2_CompMet&gt;0,Ou_Rist_Personalizzazione2_CompMet/CostoBase_NuovaEdif,Ou_Rist_Personalizzazione2_ParReale)</f>
        <v>0</v>
      </c>
      <c r="F60" s="743">
        <v>0</v>
      </c>
      <c r="G60" s="747">
        <f>IF(Ou_Rist_Personalizzazione2_ParReale&gt;0,MIN(Ou_Rist_Personalizzazione2_ParReale,Ou_Rist_Personalizzazione2_ParVirt),Ou_Rist_Personalizzazione2_ParVirt)</f>
        <v>0</v>
      </c>
      <c r="H60" s="690"/>
      <c r="I60" s="201"/>
    </row>
    <row r="61" s="678" customFormat="1" hidden="1" customHeight="1" spans="1:9">
      <c r="A61" s="201"/>
      <c r="B61" s="694" t="str">
        <f>Parametri_DestUsoPersonalizzazione11</f>
        <v>Destinazione ulteriore 3</v>
      </c>
      <c r="C61" s="696"/>
      <c r="D61" s="748">
        <v>0</v>
      </c>
      <c r="E61" s="746">
        <f>IF(Ou_Rist_Personalizzazione3_CompMet&gt;0,Ou_Rist_Personalizzazione3_CompMet/CostoBase_NuovaEdif,Ou_Rist_Personalizzazione3_ParReale)</f>
        <v>0</v>
      </c>
      <c r="F61" s="743">
        <v>0</v>
      </c>
      <c r="G61" s="747">
        <f>IF(Ou_Rist_Personalizzazione3_ParReale&gt;0,MIN(Ou_Rist_Personalizzazione3_ParReale,Ou_Rist_Personalizzazione3_ParVirt),Ou_Rist_Personalizzazione3_ParVirt)</f>
        <v>0</v>
      </c>
      <c r="H61" s="690"/>
      <c r="I61" s="201"/>
    </row>
    <row r="62" s="678" customFormat="1" hidden="1" customHeight="1" spans="1:9">
      <c r="A62" s="201"/>
      <c r="B62" s="694" t="str">
        <f>Parametri_DestUsoPersonalizzazione12</f>
        <v>Destinazione ulteriore 4</v>
      </c>
      <c r="C62" s="696"/>
      <c r="D62" s="745">
        <v>0</v>
      </c>
      <c r="E62" s="746">
        <f>IF(Ou_Rist_Personalizzazione4_CompMet&gt;0,Ou_Rist_Personalizzazione4_CompMet/CostoBase_NuovaEdif,Ou_Rist_Personalizzazione4_ParReale)</f>
        <v>0</v>
      </c>
      <c r="F62" s="743">
        <v>0</v>
      </c>
      <c r="G62" s="747">
        <f>IF(Ou_Rist_Personalizzazione4_ParReale&gt;0,MIN(Ou_Rist_Personalizzazione4_ParReale,Ou_Rist_Personalizzazione4_ParVirt),Ou_Rist_Personalizzazione4_ParVirt)</f>
        <v>0</v>
      </c>
      <c r="H62" s="690"/>
      <c r="I62" s="201"/>
    </row>
    <row r="63" s="678" customFormat="1" hidden="1" customHeight="1" spans="1:9">
      <c r="A63" s="201"/>
      <c r="B63" s="694" t="str">
        <f>Parametri_DestUsoPersonalizzazione13</f>
        <v>Destinazione ulteriore 5</v>
      </c>
      <c r="C63" s="696"/>
      <c r="D63" s="748">
        <v>0</v>
      </c>
      <c r="E63" s="746">
        <f>IF(Ou_Rist_Personalizzazione5_CompMet&gt;0,Ou_Rist_Personalizzazione5_CompMet/CostoBase_NuovaEdif,Ou_Rist_Personalizzazione5_ParReale)</f>
        <v>0</v>
      </c>
      <c r="F63" s="743">
        <v>0</v>
      </c>
      <c r="G63" s="747">
        <f>IF(Ou_Rist_Personalizzazione5_ParReale&gt;0,MIN(Ou_Rist_Personalizzazione5_ParReale,Ou_Rist_Personalizzazione5_ParVirt),Ou_Rist_Personalizzazione5_ParVirt)</f>
        <v>0</v>
      </c>
      <c r="H63" s="690"/>
      <c r="I63" s="201"/>
    </row>
    <row r="64" s="678" customFormat="1" customHeight="1" spans="1:9">
      <c r="A64" s="201"/>
      <c r="B64" s="711"/>
      <c r="C64" s="723"/>
      <c r="D64" s="750"/>
      <c r="E64" s="751"/>
      <c r="F64" s="752"/>
      <c r="G64" s="724"/>
      <c r="H64" s="690"/>
      <c r="I64" s="201"/>
    </row>
    <row r="65" s="679" customFormat="1" customHeight="1" spans="1:9">
      <c r="A65" s="200"/>
      <c r="B65" s="714" t="s">
        <v>131</v>
      </c>
      <c r="C65" s="715"/>
      <c r="D65" s="715"/>
      <c r="E65" s="715"/>
      <c r="F65" s="715"/>
      <c r="G65" s="715"/>
      <c r="H65" s="716"/>
      <c r="I65" s="200"/>
    </row>
    <row r="66" s="678" customFormat="1" customHeight="1" spans="1:9">
      <c r="A66" s="201"/>
      <c r="B66" s="728" t="s">
        <v>120</v>
      </c>
      <c r="C66" s="729"/>
      <c r="D66" s="729"/>
      <c r="E66" s="729"/>
      <c r="F66" s="719" t="s">
        <v>132</v>
      </c>
      <c r="G66" s="740" t="s">
        <v>133</v>
      </c>
      <c r="H66" s="690"/>
      <c r="I66" s="201"/>
    </row>
    <row r="67" s="678" customFormat="1" customHeight="1" spans="1:9">
      <c r="A67" s="201"/>
      <c r="B67" s="708" t="str">
        <f>Parametri_DestUsoPersonalizzazione1</f>
        <v>Residenziale</v>
      </c>
      <c r="C67" s="709"/>
      <c r="D67" s="709"/>
      <c r="E67" s="710"/>
      <c r="F67" s="720">
        <v>0</v>
      </c>
      <c r="G67" s="720">
        <v>0</v>
      </c>
      <c r="H67" s="690"/>
      <c r="I67" s="753" t="b">
        <f>IF(AND(selezione_passo_descrizione_intervento="x",selezione_cambio_uso="o"),FALSE,TRUE)</f>
        <v>1</v>
      </c>
    </row>
    <row r="68" s="678" customFormat="1" customHeight="1" spans="1:9">
      <c r="A68" s="201"/>
      <c r="B68" s="694" t="str">
        <f>Parametri_DestUsoPersonalizzazione2</f>
        <v>Commerciale direzionale</v>
      </c>
      <c r="C68" s="695"/>
      <c r="D68" s="695"/>
      <c r="E68" s="696"/>
      <c r="F68" s="721">
        <v>0</v>
      </c>
      <c r="G68" s="721">
        <v>0</v>
      </c>
      <c r="H68" s="690"/>
      <c r="I68" s="201"/>
    </row>
    <row r="69" s="678" customFormat="1" customHeight="1" spans="1:9">
      <c r="A69" s="201"/>
      <c r="B69" s="694" t="str">
        <f>Parametri_DestUsoPersonalizzazione3</f>
        <v>Industria </v>
      </c>
      <c r="C69" s="695"/>
      <c r="D69" s="695"/>
      <c r="E69" s="696"/>
      <c r="F69" s="721">
        <v>0</v>
      </c>
      <c r="G69" s="721">
        <v>0</v>
      </c>
      <c r="H69" s="690"/>
      <c r="I69" s="201"/>
    </row>
    <row r="70" s="678" customFormat="1" customHeight="1" spans="1:9">
      <c r="A70" s="201"/>
      <c r="B70" s="694" t="str">
        <f>Parametri_DestUsoPersonalizzazione4</f>
        <v>Industriale alberghiera </v>
      </c>
      <c r="C70" s="695"/>
      <c r="D70" s="695"/>
      <c r="E70" s="696"/>
      <c r="F70" s="721">
        <v>0</v>
      </c>
      <c r="G70" s="721">
        <v>0</v>
      </c>
      <c r="H70" s="690"/>
      <c r="I70" s="201"/>
    </row>
    <row r="71" s="678" customFormat="1" customHeight="1" spans="1:9">
      <c r="A71" s="201"/>
      <c r="B71" s="694" t="str">
        <f>Parametri_DestUsoPersonalizzazione5</f>
        <v>Parcheggi, silos (posto auto)</v>
      </c>
      <c r="C71" s="695"/>
      <c r="D71" s="695"/>
      <c r="E71" s="696"/>
      <c r="F71" s="722">
        <v>0</v>
      </c>
      <c r="G71" s="722">
        <v>0</v>
      </c>
      <c r="H71" s="690"/>
      <c r="I71" s="201"/>
    </row>
    <row r="72" s="678" customFormat="1" customHeight="1" spans="1:9">
      <c r="A72" s="201"/>
      <c r="B72" s="694" t="str">
        <f>Parametri_DestUsoPersonalizzazione6</f>
        <v>Attrezzature culturali e sanitarie</v>
      </c>
      <c r="C72" s="695"/>
      <c r="D72" s="695"/>
      <c r="E72" s="696"/>
      <c r="F72" s="721">
        <v>0</v>
      </c>
      <c r="G72" s="721">
        <v>0</v>
      </c>
      <c r="H72" s="690"/>
      <c r="I72" s="201"/>
    </row>
    <row r="73" s="678" customFormat="1" customHeight="1" spans="1:9">
      <c r="A73" s="201"/>
      <c r="B73" s="694" t="str">
        <f>Parametri_DestUsoPersonalizzazione7</f>
        <v>Attrezzature sportive</v>
      </c>
      <c r="C73" s="695"/>
      <c r="D73" s="695"/>
      <c r="E73" s="696"/>
      <c r="F73" s="721">
        <v>0</v>
      </c>
      <c r="G73" s="721">
        <v>0</v>
      </c>
      <c r="H73" s="690"/>
      <c r="I73" s="201"/>
    </row>
    <row r="74" s="678" customFormat="1" customHeight="1" spans="1:9">
      <c r="A74" s="201"/>
      <c r="B74" s="694" t="str">
        <f>Parametri_DestUsoPersonalizzazione8</f>
        <v>Attrezzature spettacolo</v>
      </c>
      <c r="C74" s="695"/>
      <c r="D74" s="695"/>
      <c r="E74" s="696"/>
      <c r="F74" s="721">
        <v>0</v>
      </c>
      <c r="G74" s="721">
        <v>0</v>
      </c>
      <c r="H74" s="690"/>
      <c r="I74" s="201"/>
    </row>
    <row r="75" s="678" customFormat="1" customHeight="1" spans="1:9">
      <c r="A75" s="201"/>
      <c r="B75" s="694" t="str">
        <f>Parametri_DestUsoPersonalizzazione9</f>
        <v>Artigianato</v>
      </c>
      <c r="C75" s="695"/>
      <c r="D75" s="695"/>
      <c r="E75" s="696"/>
      <c r="F75" s="721">
        <v>0</v>
      </c>
      <c r="G75" s="721">
        <v>0</v>
      </c>
      <c r="H75" s="690"/>
      <c r="I75" s="201"/>
    </row>
    <row r="76" s="678" customFormat="1" customHeight="1" spans="1:9">
      <c r="A76" s="201"/>
      <c r="B76" s="694" t="str">
        <f>Parametri_DestUsoPersonalizzazione10</f>
        <v>Campeggi (€/utente)</v>
      </c>
      <c r="C76" s="695"/>
      <c r="D76" s="695"/>
      <c r="E76" s="696"/>
      <c r="F76" s="721">
        <v>0</v>
      </c>
      <c r="G76" s="721">
        <v>0</v>
      </c>
      <c r="H76" s="690"/>
      <c r="I76" s="201"/>
    </row>
    <row r="77" s="678" customFormat="1" hidden="1" customHeight="1" spans="1:9">
      <c r="A77" s="201"/>
      <c r="B77" s="694" t="str">
        <f>Parametri_DestUsoPersonalizzazione11</f>
        <v>Destinazione ulteriore 3</v>
      </c>
      <c r="C77" s="695"/>
      <c r="D77" s="695"/>
      <c r="E77" s="696"/>
      <c r="F77" s="721">
        <v>0</v>
      </c>
      <c r="G77" s="721">
        <v>0</v>
      </c>
      <c r="H77" s="690"/>
      <c r="I77" s="201"/>
    </row>
    <row r="78" s="678" customFormat="1" hidden="1" customHeight="1" spans="1:9">
      <c r="A78" s="201"/>
      <c r="B78" s="694" t="str">
        <f>Parametri_DestUsoPersonalizzazione12</f>
        <v>Destinazione ulteriore 4</v>
      </c>
      <c r="C78" s="695"/>
      <c r="D78" s="695"/>
      <c r="E78" s="696"/>
      <c r="F78" s="721">
        <v>0</v>
      </c>
      <c r="G78" s="721">
        <v>0</v>
      </c>
      <c r="H78" s="690"/>
      <c r="I78" s="201"/>
    </row>
    <row r="79" s="678" customFormat="1" hidden="1" customHeight="1" spans="1:9">
      <c r="A79" s="201"/>
      <c r="B79" s="694" t="str">
        <f>Parametri_DestUsoPersonalizzazione13</f>
        <v>Destinazione ulteriore 5</v>
      </c>
      <c r="C79" s="695"/>
      <c r="D79" s="695"/>
      <c r="E79" s="696"/>
      <c r="F79" s="721">
        <v>0</v>
      </c>
      <c r="G79" s="721">
        <v>0</v>
      </c>
      <c r="H79" s="690"/>
      <c r="I79" s="201"/>
    </row>
    <row r="80" s="678" customFormat="1" customHeight="1" spans="1:9">
      <c r="A80" s="201"/>
      <c r="B80" s="705"/>
      <c r="C80" s="706"/>
      <c r="D80" s="706"/>
      <c r="E80" s="706"/>
      <c r="F80" s="706"/>
      <c r="G80" s="706"/>
      <c r="H80" s="707"/>
      <c r="I80" s="201"/>
    </row>
    <row r="81" s="678" customFormat="1" customHeight="1" spans="1:9">
      <c r="A81" s="201"/>
      <c r="B81" s="49"/>
      <c r="C81" s="49"/>
      <c r="D81" s="49"/>
      <c r="E81" s="49"/>
      <c r="F81" s="49"/>
      <c r="G81" s="49"/>
      <c r="H81" s="49"/>
      <c r="I81" s="49"/>
    </row>
    <row r="82" s="679" customFormat="1" customHeight="1" spans="1:250">
      <c r="A82" s="200"/>
      <c r="B82" s="682" t="s">
        <v>134</v>
      </c>
      <c r="C82" s="683"/>
      <c r="D82" s="683"/>
      <c r="E82" s="683"/>
      <c r="F82" s="683"/>
      <c r="G82" s="683"/>
      <c r="H82" s="684"/>
      <c r="I82" s="200"/>
      <c r="J82"/>
      <c r="K82"/>
      <c r="L82"/>
      <c r="M82"/>
      <c r="N82"/>
      <c r="O82"/>
      <c r="P82"/>
      <c r="Q82"/>
      <c r="R82"/>
      <c r="S82"/>
      <c r="T82"/>
      <c r="U82"/>
      <c r="V82"/>
      <c r="W82"/>
      <c r="X82"/>
      <c r="Y82"/>
      <c r="Z82"/>
      <c r="AA82"/>
      <c r="AB82"/>
      <c r="AC82"/>
      <c r="AD82"/>
      <c r="AE82"/>
      <c r="AF82"/>
      <c r="AG82"/>
      <c r="AH82"/>
      <c r="AI82"/>
      <c r="AJ82"/>
      <c r="AK82"/>
      <c r="AL82"/>
      <c r="AM82"/>
      <c r="AN82"/>
      <c r="AO82"/>
      <c r="AP82"/>
      <c r="AQ82"/>
      <c r="AR82"/>
      <c r="AS82"/>
      <c r="AT82"/>
      <c r="AU82"/>
      <c r="AV82"/>
      <c r="AW82"/>
      <c r="AX82"/>
      <c r="AY82"/>
      <c r="AZ82"/>
      <c r="BA82"/>
      <c r="BB82"/>
      <c r="BC82"/>
      <c r="BD82"/>
      <c r="BE82"/>
      <c r="BF82"/>
      <c r="BG82"/>
      <c r="BH82"/>
      <c r="BI82"/>
      <c r="BJ82"/>
      <c r="BK82"/>
      <c r="BL82"/>
      <c r="BM82"/>
      <c r="BN82"/>
      <c r="BO82"/>
      <c r="BP82"/>
      <c r="BQ82"/>
      <c r="BR82"/>
      <c r="BS82"/>
      <c r="BT82"/>
      <c r="BU82"/>
      <c r="BV82"/>
      <c r="BW82"/>
      <c r="BX82"/>
      <c r="BY82"/>
      <c r="BZ82"/>
      <c r="CA82"/>
      <c r="CB82"/>
      <c r="CC82"/>
      <c r="CD82"/>
      <c r="CE82"/>
      <c r="CF82"/>
      <c r="CG82"/>
      <c r="CH82"/>
      <c r="CI82"/>
      <c r="CJ82"/>
      <c r="CK82"/>
      <c r="CL82"/>
      <c r="CM82"/>
      <c r="CN82"/>
      <c r="CO82"/>
      <c r="CP82"/>
      <c r="CQ82"/>
      <c r="CR82"/>
      <c r="CS82"/>
      <c r="CT82"/>
      <c r="CU82"/>
      <c r="CV82"/>
      <c r="CW82"/>
      <c r="CX82"/>
      <c r="CY82"/>
      <c r="CZ82"/>
      <c r="DA82"/>
      <c r="DB82"/>
      <c r="DC82"/>
      <c r="DD82"/>
      <c r="DE82"/>
      <c r="DF82"/>
      <c r="DG82"/>
      <c r="DH82"/>
      <c r="DI82"/>
      <c r="DJ82"/>
      <c r="DK82"/>
      <c r="DL82"/>
      <c r="DM82"/>
      <c r="DN82"/>
      <c r="DO82"/>
      <c r="DP82"/>
      <c r="DQ82"/>
      <c r="DR82"/>
      <c r="DS82"/>
      <c r="DT82"/>
      <c r="DU82"/>
      <c r="DV82"/>
      <c r="DW82"/>
      <c r="DX82"/>
      <c r="DY82"/>
      <c r="DZ82"/>
      <c r="EA82"/>
      <c r="EB82"/>
      <c r="EC82"/>
      <c r="ED82"/>
      <c r="EE82"/>
      <c r="EF82"/>
      <c r="EG82"/>
      <c r="EH82"/>
      <c r="EI82"/>
      <c r="EJ82"/>
      <c r="EK82"/>
      <c r="EL82"/>
      <c r="EM82"/>
      <c r="EN82"/>
      <c r="EO82"/>
      <c r="EP82"/>
      <c r="EQ82"/>
      <c r="ER82"/>
      <c r="ES82"/>
      <c r="ET82"/>
      <c r="EU82"/>
      <c r="EV82"/>
      <c r="EW82"/>
      <c r="EX82"/>
      <c r="EY82"/>
      <c r="EZ82"/>
      <c r="FA82"/>
      <c r="FB82"/>
      <c r="FC82"/>
      <c r="FD82"/>
      <c r="FE82"/>
      <c r="FF82"/>
      <c r="FG82"/>
      <c r="FH82"/>
      <c r="FI82"/>
      <c r="FJ82"/>
      <c r="FK82"/>
      <c r="FL82"/>
      <c r="FM82"/>
      <c r="FN82"/>
      <c r="FO82"/>
      <c r="FP82"/>
      <c r="FQ82"/>
      <c r="FR82"/>
      <c r="FS82"/>
      <c r="FT82"/>
      <c r="FU82"/>
      <c r="FV82"/>
      <c r="FW82"/>
      <c r="FX82"/>
      <c r="FY82"/>
      <c r="FZ82"/>
      <c r="GA82"/>
      <c r="GB82"/>
      <c r="GC82"/>
      <c r="GD82"/>
      <c r="GE82"/>
      <c r="GF82"/>
      <c r="GG82"/>
      <c r="GH82"/>
      <c r="GI82"/>
      <c r="GJ82"/>
      <c r="GK82"/>
      <c r="GL82"/>
      <c r="GM82"/>
      <c r="GN82"/>
      <c r="GO82"/>
      <c r="GP82"/>
      <c r="GQ82"/>
      <c r="GR82"/>
      <c r="GS82"/>
      <c r="GT82"/>
      <c r="GU82"/>
      <c r="GV82"/>
      <c r="GW82"/>
      <c r="GX82"/>
      <c r="GY82"/>
      <c r="GZ82"/>
      <c r="HA82"/>
      <c r="HB82"/>
      <c r="HC82"/>
      <c r="HD82"/>
      <c r="HE82"/>
      <c r="HF82"/>
      <c r="HG82"/>
      <c r="HH82"/>
      <c r="HI82"/>
      <c r="HJ82"/>
      <c r="HK82"/>
      <c r="HL82"/>
      <c r="HM82"/>
      <c r="HN82"/>
      <c r="HO82"/>
      <c r="HP82"/>
      <c r="HQ82"/>
      <c r="HR82"/>
      <c r="HS82"/>
      <c r="HT82"/>
      <c r="HU82"/>
      <c r="HV82"/>
      <c r="HW82"/>
      <c r="HX82"/>
      <c r="HY82"/>
      <c r="HZ82"/>
      <c r="IA82"/>
      <c r="IB82"/>
      <c r="IC82"/>
      <c r="ID82"/>
      <c r="IE82"/>
      <c r="IF82"/>
      <c r="IG82"/>
      <c r="IH82"/>
      <c r="II82"/>
      <c r="IJ82"/>
      <c r="IK82"/>
      <c r="IL82"/>
      <c r="IM82"/>
      <c r="IN82"/>
      <c r="IO82"/>
      <c r="IP82"/>
    </row>
    <row r="83" s="678" customFormat="1" customHeight="1" spans="1:250">
      <c r="A83" s="201"/>
      <c r="B83" s="686" t="s">
        <v>135</v>
      </c>
      <c r="C83" s="687"/>
      <c r="D83" s="687"/>
      <c r="E83" s="687"/>
      <c r="F83" s="688"/>
      <c r="G83" s="754" t="s">
        <v>100</v>
      </c>
      <c r="H83" s="690"/>
      <c r="I83" s="201"/>
      <c r="J83"/>
      <c r="K83"/>
      <c r="L83"/>
      <c r="M83"/>
      <c r="N83"/>
      <c r="O83"/>
      <c r="P83"/>
      <c r="Q83"/>
      <c r="R83"/>
      <c r="S83"/>
      <c r="T83"/>
      <c r="U83"/>
      <c r="V83"/>
      <c r="W83"/>
      <c r="X83"/>
      <c r="Y83"/>
      <c r="Z83"/>
      <c r="AA83"/>
      <c r="AB83"/>
      <c r="AC83"/>
      <c r="AD83"/>
      <c r="AE83"/>
      <c r="AF83"/>
      <c r="AG83"/>
      <c r="AH83"/>
      <c r="AI83"/>
      <c r="AJ83"/>
      <c r="AK83"/>
      <c r="AL83"/>
      <c r="AM83"/>
      <c r="AN83"/>
      <c r="AO83"/>
      <c r="AP83"/>
      <c r="AQ83"/>
      <c r="AR83"/>
      <c r="AS83"/>
      <c r="AT83"/>
      <c r="AU83"/>
      <c r="AV83"/>
      <c r="AW83"/>
      <c r="AX83"/>
      <c r="AY83"/>
      <c r="AZ83"/>
      <c r="BA83"/>
      <c r="BB83"/>
      <c r="BC83"/>
      <c r="BD83"/>
      <c r="BE83"/>
      <c r="BF83"/>
      <c r="BG83"/>
      <c r="BH83"/>
      <c r="BI83"/>
      <c r="BJ83"/>
      <c r="BK83"/>
      <c r="BL83"/>
      <c r="BM83"/>
      <c r="BN83"/>
      <c r="BO83"/>
      <c r="BP83"/>
      <c r="BQ83"/>
      <c r="BR83"/>
      <c r="BS83"/>
      <c r="BT83"/>
      <c r="BU83"/>
      <c r="BV83"/>
      <c r="BW83"/>
      <c r="BX83"/>
      <c r="BY83"/>
      <c r="BZ83"/>
      <c r="CA83"/>
      <c r="CB83"/>
      <c r="CC83"/>
      <c r="CD83"/>
      <c r="CE83"/>
      <c r="CF83"/>
      <c r="CG83"/>
      <c r="CH83"/>
      <c r="CI83"/>
      <c r="CJ83"/>
      <c r="CK83"/>
      <c r="CL83"/>
      <c r="CM83"/>
      <c r="CN83"/>
      <c r="CO83"/>
      <c r="CP83"/>
      <c r="CQ83"/>
      <c r="CR83"/>
      <c r="CS83"/>
      <c r="CT83"/>
      <c r="CU83"/>
      <c r="CV83"/>
      <c r="CW83"/>
      <c r="CX83"/>
      <c r="CY83"/>
      <c r="CZ83"/>
      <c r="DA83"/>
      <c r="DB83"/>
      <c r="DC83"/>
      <c r="DD83"/>
      <c r="DE83"/>
      <c r="DF83"/>
      <c r="DG83"/>
      <c r="DH83"/>
      <c r="DI83"/>
      <c r="DJ83"/>
      <c r="DK83"/>
      <c r="DL83"/>
      <c r="DM83"/>
      <c r="DN83"/>
      <c r="DO83"/>
      <c r="DP83"/>
      <c r="DQ83"/>
      <c r="DR83"/>
      <c r="DS83"/>
      <c r="DT83"/>
      <c r="DU83"/>
      <c r="DV83"/>
      <c r="DW83"/>
      <c r="DX83"/>
      <c r="DY83"/>
      <c r="DZ83"/>
      <c r="EA83"/>
      <c r="EB83"/>
      <c r="EC83"/>
      <c r="ED83"/>
      <c r="EE83"/>
      <c r="EF83"/>
      <c r="EG83"/>
      <c r="EH83"/>
      <c r="EI83"/>
      <c r="EJ83"/>
      <c r="EK83"/>
      <c r="EL83"/>
      <c r="EM83"/>
      <c r="EN83"/>
      <c r="EO83"/>
      <c r="EP83"/>
      <c r="EQ83"/>
      <c r="ER83"/>
      <c r="ES83"/>
      <c r="ET83"/>
      <c r="EU83"/>
      <c r="EV83"/>
      <c r="EW83"/>
      <c r="EX83"/>
      <c r="EY83"/>
      <c r="EZ83"/>
      <c r="FA83"/>
      <c r="FB83"/>
      <c r="FC83"/>
      <c r="FD83"/>
      <c r="FE83"/>
      <c r="FF83"/>
      <c r="FG83"/>
      <c r="FH83"/>
      <c r="FI83"/>
      <c r="FJ83"/>
      <c r="FK83"/>
      <c r="FL83"/>
      <c r="FM83"/>
      <c r="FN83"/>
      <c r="FO83"/>
      <c r="FP83"/>
      <c r="FQ83"/>
      <c r="FR83"/>
      <c r="FS83"/>
      <c r="FT83"/>
      <c r="FU83"/>
      <c r="FV83"/>
      <c r="FW83"/>
      <c r="FX83"/>
      <c r="FY83"/>
      <c r="FZ83"/>
      <c r="GA83"/>
      <c r="GB83"/>
      <c r="GC83"/>
      <c r="GD83"/>
      <c r="GE83"/>
      <c r="GF83"/>
      <c r="GG83"/>
      <c r="GH83"/>
      <c r="GI83"/>
      <c r="GJ83"/>
      <c r="GK83"/>
      <c r="GL83"/>
      <c r="GM83"/>
      <c r="GN83"/>
      <c r="GO83"/>
      <c r="GP83"/>
      <c r="GQ83"/>
      <c r="GR83"/>
      <c r="GS83"/>
      <c r="GT83"/>
      <c r="GU83"/>
      <c r="GV83"/>
      <c r="GW83"/>
      <c r="GX83"/>
      <c r="GY83"/>
      <c r="GZ83"/>
      <c r="HA83"/>
      <c r="HB83"/>
      <c r="HC83"/>
      <c r="HD83"/>
      <c r="HE83"/>
      <c r="HF83"/>
      <c r="HG83"/>
      <c r="HH83"/>
      <c r="HI83"/>
      <c r="HJ83"/>
      <c r="HK83"/>
      <c r="HL83"/>
      <c r="HM83"/>
      <c r="HN83"/>
      <c r="HO83"/>
      <c r="HP83"/>
      <c r="HQ83"/>
      <c r="HR83"/>
      <c r="HS83"/>
      <c r="HT83"/>
      <c r="HU83"/>
      <c r="HV83"/>
      <c r="HW83"/>
      <c r="HX83"/>
      <c r="HY83"/>
      <c r="HZ83"/>
      <c r="IA83"/>
      <c r="IB83"/>
      <c r="IC83"/>
      <c r="ID83"/>
      <c r="IE83"/>
      <c r="IF83"/>
      <c r="IG83"/>
      <c r="IH83"/>
      <c r="II83"/>
      <c r="IJ83"/>
      <c r="IK83"/>
      <c r="IL83"/>
      <c r="IM83"/>
      <c r="IN83"/>
      <c r="IO83"/>
      <c r="IP83"/>
    </row>
    <row r="84" s="678" customFormat="1" customHeight="1" spans="1:250">
      <c r="A84" s="201"/>
      <c r="B84" s="691" t="str">
        <f>IF(ZonaMonetizzazioneAreeStand&lt;&gt;"",(VLOOKUP(ZonaMonetizzazioneAreeStand,Parametri_ElencoZoneMatrice,2,FALSE)),"")</f>
        <v>Selezionare la zona</v>
      </c>
      <c r="C84" s="692"/>
      <c r="D84" s="692"/>
      <c r="E84" s="692"/>
      <c r="F84" s="693"/>
      <c r="G84" s="755"/>
      <c r="H84" s="690"/>
      <c r="I84" s="201"/>
      <c r="J84"/>
      <c r="K84"/>
      <c r="L84"/>
      <c r="M84"/>
      <c r="N84"/>
      <c r="O84"/>
      <c r="P84"/>
      <c r="Q84"/>
      <c r="R84"/>
      <c r="S84"/>
      <c r="T84"/>
      <c r="U84"/>
      <c r="V84"/>
      <c r="W84"/>
      <c r="X84"/>
      <c r="Y84"/>
      <c r="Z84"/>
      <c r="AA84"/>
      <c r="AB84"/>
      <c r="AC84"/>
      <c r="AD84"/>
      <c r="AE84"/>
      <c r="AF84"/>
      <c r="AG84"/>
      <c r="AH84"/>
      <c r="AI84"/>
      <c r="AJ84"/>
      <c r="AK84"/>
      <c r="AL84"/>
      <c r="AM84"/>
      <c r="AN84"/>
      <c r="AO84"/>
      <c r="AP84"/>
      <c r="AQ84"/>
      <c r="AR84"/>
      <c r="AS84"/>
      <c r="AT84"/>
      <c r="AU84"/>
      <c r="AV84"/>
      <c r="AW84"/>
      <c r="AX84"/>
      <c r="AY84"/>
      <c r="AZ84"/>
      <c r="BA84"/>
      <c r="BB84"/>
      <c r="BC84"/>
      <c r="BD84"/>
      <c r="BE84"/>
      <c r="BF84"/>
      <c r="BG84"/>
      <c r="BH84"/>
      <c r="BI84"/>
      <c r="BJ84"/>
      <c r="BK84"/>
      <c r="BL84"/>
      <c r="BM84"/>
      <c r="BN84"/>
      <c r="BO84"/>
      <c r="BP84"/>
      <c r="BQ84"/>
      <c r="BR84"/>
      <c r="BS84"/>
      <c r="BT84"/>
      <c r="BU84"/>
      <c r="BV84"/>
      <c r="BW84"/>
      <c r="BX84"/>
      <c r="BY84"/>
      <c r="BZ84"/>
      <c r="CA84"/>
      <c r="CB84"/>
      <c r="CC84"/>
      <c r="CD84"/>
      <c r="CE84"/>
      <c r="CF84"/>
      <c r="CG84"/>
      <c r="CH84"/>
      <c r="CI84"/>
      <c r="CJ84"/>
      <c r="CK84"/>
      <c r="CL84"/>
      <c r="CM84"/>
      <c r="CN84"/>
      <c r="CO84"/>
      <c r="CP84"/>
      <c r="CQ84"/>
      <c r="CR84"/>
      <c r="CS84"/>
      <c r="CT84"/>
      <c r="CU84"/>
      <c r="CV84"/>
      <c r="CW84"/>
      <c r="CX84"/>
      <c r="CY84"/>
      <c r="CZ84"/>
      <c r="DA84"/>
      <c r="DB84"/>
      <c r="DC84"/>
      <c r="DD84"/>
      <c r="DE84"/>
      <c r="DF84"/>
      <c r="DG84"/>
      <c r="DH84"/>
      <c r="DI84"/>
      <c r="DJ84"/>
      <c r="DK84"/>
      <c r="DL84"/>
      <c r="DM84"/>
      <c r="DN84"/>
      <c r="DO84"/>
      <c r="DP84"/>
      <c r="DQ84"/>
      <c r="DR84"/>
      <c r="DS84"/>
      <c r="DT84"/>
      <c r="DU84"/>
      <c r="DV84"/>
      <c r="DW84"/>
      <c r="DX84"/>
      <c r="DY84"/>
      <c r="DZ84"/>
      <c r="EA84"/>
      <c r="EB84"/>
      <c r="EC84"/>
      <c r="ED84"/>
      <c r="EE84"/>
      <c r="EF84"/>
      <c r="EG84"/>
      <c r="EH84"/>
      <c r="EI84"/>
      <c r="EJ84"/>
      <c r="EK84"/>
      <c r="EL84"/>
      <c r="EM84"/>
      <c r="EN84"/>
      <c r="EO84"/>
      <c r="EP84"/>
      <c r="EQ84"/>
      <c r="ER84"/>
      <c r="ES84"/>
      <c r="ET84"/>
      <c r="EU84"/>
      <c r="EV84"/>
      <c r="EW84"/>
      <c r="EX84"/>
      <c r="EY84"/>
      <c r="EZ84"/>
      <c r="FA84"/>
      <c r="FB84"/>
      <c r="FC84"/>
      <c r="FD84"/>
      <c r="FE84"/>
      <c r="FF84"/>
      <c r="FG84"/>
      <c r="FH84"/>
      <c r="FI84"/>
      <c r="FJ84"/>
      <c r="FK84"/>
      <c r="FL84"/>
      <c r="FM84"/>
      <c r="FN84"/>
      <c r="FO84"/>
      <c r="FP84"/>
      <c r="FQ84"/>
      <c r="FR84"/>
      <c r="FS84"/>
      <c r="FT84"/>
      <c r="FU84"/>
      <c r="FV84"/>
      <c r="FW84"/>
      <c r="FX84"/>
      <c r="FY84"/>
      <c r="FZ84"/>
      <c r="GA84"/>
      <c r="GB84"/>
      <c r="GC84"/>
      <c r="GD84"/>
      <c r="GE84"/>
      <c r="GF84"/>
      <c r="GG84"/>
      <c r="GH84"/>
      <c r="GI84"/>
      <c r="GJ84"/>
      <c r="GK84"/>
      <c r="GL84"/>
      <c r="GM84"/>
      <c r="GN84"/>
      <c r="GO84"/>
      <c r="GP84"/>
      <c r="GQ84"/>
      <c r="GR84"/>
      <c r="GS84"/>
      <c r="GT84"/>
      <c r="GU84"/>
      <c r="GV84"/>
      <c r="GW84"/>
      <c r="GX84"/>
      <c r="GY84"/>
      <c r="GZ84"/>
      <c r="HA84"/>
      <c r="HB84"/>
      <c r="HC84"/>
      <c r="HD84"/>
      <c r="HE84"/>
      <c r="HF84"/>
      <c r="HG84"/>
      <c r="HH84"/>
      <c r="HI84"/>
      <c r="HJ84"/>
      <c r="HK84"/>
      <c r="HL84"/>
      <c r="HM84"/>
      <c r="HN84"/>
      <c r="HO84"/>
      <c r="HP84"/>
      <c r="HQ84"/>
      <c r="HR84"/>
      <c r="HS84"/>
      <c r="HT84"/>
      <c r="HU84"/>
      <c r="HV84"/>
      <c r="HW84"/>
      <c r="HX84"/>
      <c r="HY84"/>
      <c r="HZ84"/>
      <c r="IA84"/>
      <c r="IB84"/>
      <c r="IC84"/>
      <c r="ID84"/>
      <c r="IE84"/>
      <c r="IF84"/>
      <c r="IG84"/>
      <c r="IH84"/>
      <c r="II84"/>
      <c r="IJ84"/>
      <c r="IK84"/>
      <c r="IL84"/>
      <c r="IM84"/>
      <c r="IN84"/>
      <c r="IO84"/>
      <c r="IP84"/>
    </row>
    <row r="85" s="678" customFormat="1" customHeight="1" spans="1:250">
      <c r="A85" s="201"/>
      <c r="B85" s="694" t="s">
        <v>136</v>
      </c>
      <c r="C85" s="695"/>
      <c r="D85" s="695"/>
      <c r="E85" s="695"/>
      <c r="F85" s="696"/>
      <c r="G85" s="756">
        <v>0</v>
      </c>
      <c r="H85" s="690"/>
      <c r="I85" s="201"/>
      <c r="J85"/>
      <c r="K85"/>
      <c r="L85"/>
      <c r="M85"/>
      <c r="N85"/>
      <c r="O85"/>
      <c r="P85"/>
      <c r="Q85"/>
      <c r="R85"/>
      <c r="S85"/>
      <c r="T85"/>
      <c r="U85"/>
      <c r="V85"/>
      <c r="W85"/>
      <c r="X85"/>
      <c r="Y85"/>
      <c r="Z85"/>
      <c r="AA85"/>
      <c r="AB85"/>
      <c r="AC85"/>
      <c r="AD85"/>
      <c r="AE85"/>
      <c r="AF85"/>
      <c r="AG85"/>
      <c r="AH85"/>
      <c r="AI85"/>
      <c r="AJ85"/>
      <c r="AK85"/>
      <c r="AL85"/>
      <c r="AM85"/>
      <c r="AN85"/>
      <c r="AO85"/>
      <c r="AP85"/>
      <c r="AQ85"/>
      <c r="AR85"/>
      <c r="AS85"/>
      <c r="AT85"/>
      <c r="AU85"/>
      <c r="AV85"/>
      <c r="AW85"/>
      <c r="AX85"/>
      <c r="AY85"/>
      <c r="AZ85"/>
      <c r="BA85"/>
      <c r="BB85"/>
      <c r="BC85"/>
      <c r="BD85"/>
      <c r="BE85"/>
      <c r="BF85"/>
      <c r="BG85"/>
      <c r="BH85"/>
      <c r="BI85"/>
      <c r="BJ85"/>
      <c r="BK85"/>
      <c r="BL85"/>
      <c r="BM85"/>
      <c r="BN85"/>
      <c r="BO85"/>
      <c r="BP85"/>
      <c r="BQ85"/>
      <c r="BR85"/>
      <c r="BS85"/>
      <c r="BT85"/>
      <c r="BU85"/>
      <c r="BV85"/>
      <c r="BW85"/>
      <c r="BX85"/>
      <c r="BY85"/>
      <c r="BZ85"/>
      <c r="CA85"/>
      <c r="CB85"/>
      <c r="CC85"/>
      <c r="CD85"/>
      <c r="CE85"/>
      <c r="CF85"/>
      <c r="CG85"/>
      <c r="CH85"/>
      <c r="CI85"/>
      <c r="CJ85"/>
      <c r="CK85"/>
      <c r="CL85"/>
      <c r="CM85"/>
      <c r="CN85"/>
      <c r="CO85"/>
      <c r="CP85"/>
      <c r="CQ85"/>
      <c r="CR85"/>
      <c r="CS85"/>
      <c r="CT85"/>
      <c r="CU85"/>
      <c r="CV85"/>
      <c r="CW85"/>
      <c r="CX85"/>
      <c r="CY85"/>
      <c r="CZ85"/>
      <c r="DA85"/>
      <c r="DB85"/>
      <c r="DC85"/>
      <c r="DD85"/>
      <c r="DE85"/>
      <c r="DF85"/>
      <c r="DG85"/>
      <c r="DH85"/>
      <c r="DI85"/>
      <c r="DJ85"/>
      <c r="DK85"/>
      <c r="DL85"/>
      <c r="DM85"/>
      <c r="DN85"/>
      <c r="DO85"/>
      <c r="DP85"/>
      <c r="DQ85"/>
      <c r="DR85"/>
      <c r="DS85"/>
      <c r="DT85"/>
      <c r="DU85"/>
      <c r="DV85"/>
      <c r="DW85"/>
      <c r="DX85"/>
      <c r="DY85"/>
      <c r="DZ85"/>
      <c r="EA85"/>
      <c r="EB85"/>
      <c r="EC85"/>
      <c r="ED85"/>
      <c r="EE85"/>
      <c r="EF85"/>
      <c r="EG85"/>
      <c r="EH85"/>
      <c r="EI85"/>
      <c r="EJ85"/>
      <c r="EK85"/>
      <c r="EL85"/>
      <c r="EM85"/>
      <c r="EN85"/>
      <c r="EO85"/>
      <c r="EP85"/>
      <c r="EQ85"/>
      <c r="ER85"/>
      <c r="ES85"/>
      <c r="ET85"/>
      <c r="EU85"/>
      <c r="EV85"/>
      <c r="EW85"/>
      <c r="EX85"/>
      <c r="EY85"/>
      <c r="EZ85"/>
      <c r="FA85"/>
      <c r="FB85"/>
      <c r="FC85"/>
      <c r="FD85"/>
      <c r="FE85"/>
      <c r="FF85"/>
      <c r="FG85"/>
      <c r="FH85"/>
      <c r="FI85"/>
      <c r="FJ85"/>
      <c r="FK85"/>
      <c r="FL85"/>
      <c r="FM85"/>
      <c r="FN85"/>
      <c r="FO85"/>
      <c r="FP85"/>
      <c r="FQ85"/>
      <c r="FR85"/>
      <c r="FS85"/>
      <c r="FT85"/>
      <c r="FU85"/>
      <c r="FV85"/>
      <c r="FW85"/>
      <c r="FX85"/>
      <c r="FY85"/>
      <c r="FZ85"/>
      <c r="GA85"/>
      <c r="GB85"/>
      <c r="GC85"/>
      <c r="GD85"/>
      <c r="GE85"/>
      <c r="GF85"/>
      <c r="GG85"/>
      <c r="GH85"/>
      <c r="GI85"/>
      <c r="GJ85"/>
      <c r="GK85"/>
      <c r="GL85"/>
      <c r="GM85"/>
      <c r="GN85"/>
      <c r="GO85"/>
      <c r="GP85"/>
      <c r="GQ85"/>
      <c r="GR85"/>
      <c r="GS85"/>
      <c r="GT85"/>
      <c r="GU85"/>
      <c r="GV85"/>
      <c r="GW85"/>
      <c r="GX85"/>
      <c r="GY85"/>
      <c r="GZ85"/>
      <c r="HA85"/>
      <c r="HB85"/>
      <c r="HC85"/>
      <c r="HD85"/>
      <c r="HE85"/>
      <c r="HF85"/>
      <c r="HG85"/>
      <c r="HH85"/>
      <c r="HI85"/>
      <c r="HJ85"/>
      <c r="HK85"/>
      <c r="HL85"/>
      <c r="HM85"/>
      <c r="HN85"/>
      <c r="HO85"/>
      <c r="HP85"/>
      <c r="HQ85"/>
      <c r="HR85"/>
      <c r="HS85"/>
      <c r="HT85"/>
      <c r="HU85"/>
      <c r="HV85"/>
      <c r="HW85"/>
      <c r="HX85"/>
      <c r="HY85"/>
      <c r="HZ85"/>
      <c r="IA85"/>
      <c r="IB85"/>
      <c r="IC85"/>
      <c r="ID85"/>
      <c r="IE85"/>
      <c r="IF85"/>
      <c r="IG85"/>
      <c r="IH85"/>
      <c r="II85"/>
      <c r="IJ85"/>
      <c r="IK85"/>
      <c r="IL85"/>
      <c r="IM85"/>
      <c r="IN85"/>
      <c r="IO85"/>
      <c r="IP85"/>
    </row>
    <row r="86" s="678" customFormat="1" customHeight="1" spans="1:250">
      <c r="A86" s="201"/>
      <c r="B86" s="705"/>
      <c r="C86" s="706"/>
      <c r="D86" s="706"/>
      <c r="E86" s="706"/>
      <c r="F86" s="706"/>
      <c r="G86" s="706"/>
      <c r="H86" s="707"/>
      <c r="I86" s="201"/>
      <c r="J86"/>
      <c r="K86"/>
      <c r="L86"/>
      <c r="M86"/>
      <c r="N86"/>
      <c r="O86"/>
      <c r="P86"/>
      <c r="Q86"/>
      <c r="R86"/>
      <c r="S86"/>
      <c r="T86"/>
      <c r="U86"/>
      <c r="V86"/>
      <c r="W86"/>
      <c r="X86"/>
      <c r="Y86"/>
      <c r="Z86"/>
      <c r="AA86"/>
      <c r="AB86"/>
      <c r="AC86"/>
      <c r="AD86"/>
      <c r="AE86"/>
      <c r="AF86"/>
      <c r="AG86"/>
      <c r="AH86"/>
      <c r="AI86"/>
      <c r="AJ86"/>
      <c r="AK86"/>
      <c r="AL86"/>
      <c r="AM86"/>
      <c r="AN86"/>
      <c r="AO86"/>
      <c r="AP86"/>
      <c r="AQ86"/>
      <c r="AR86"/>
      <c r="AS86"/>
      <c r="AT86"/>
      <c r="AU86"/>
      <c r="AV86"/>
      <c r="AW86"/>
      <c r="AX86"/>
      <c r="AY86"/>
      <c r="AZ86"/>
      <c r="BA86"/>
      <c r="BB86"/>
      <c r="BC86"/>
      <c r="BD86"/>
      <c r="BE86"/>
      <c r="BF86"/>
      <c r="BG86"/>
      <c r="BH86"/>
      <c r="BI86"/>
      <c r="BJ86"/>
      <c r="BK86"/>
      <c r="BL86"/>
      <c r="BM86"/>
      <c r="BN86"/>
      <c r="BO86"/>
      <c r="BP86"/>
      <c r="BQ86"/>
      <c r="BR86"/>
      <c r="BS86"/>
      <c r="BT86"/>
      <c r="BU86"/>
      <c r="BV86"/>
      <c r="BW86"/>
      <c r="BX86"/>
      <c r="BY86"/>
      <c r="BZ86"/>
      <c r="CA86"/>
      <c r="CB86"/>
      <c r="CC86"/>
      <c r="CD86"/>
      <c r="CE86"/>
      <c r="CF86"/>
      <c r="CG86"/>
      <c r="CH86"/>
      <c r="CI86"/>
      <c r="CJ86"/>
      <c r="CK86"/>
      <c r="CL86"/>
      <c r="CM86"/>
      <c r="CN86"/>
      <c r="CO86"/>
      <c r="CP86"/>
      <c r="CQ86"/>
      <c r="CR86"/>
      <c r="CS86"/>
      <c r="CT86"/>
      <c r="CU86"/>
      <c r="CV86"/>
      <c r="CW86"/>
      <c r="CX86"/>
      <c r="CY86"/>
      <c r="CZ86"/>
      <c r="DA86"/>
      <c r="DB86"/>
      <c r="DC86"/>
      <c r="DD86"/>
      <c r="DE86"/>
      <c r="DF86"/>
      <c r="DG86"/>
      <c r="DH86"/>
      <c r="DI86"/>
      <c r="DJ86"/>
      <c r="DK86"/>
      <c r="DL86"/>
      <c r="DM86"/>
      <c r="DN86"/>
      <c r="DO86"/>
      <c r="DP86"/>
      <c r="DQ86"/>
      <c r="DR86"/>
      <c r="DS86"/>
      <c r="DT86"/>
      <c r="DU86"/>
      <c r="DV86"/>
      <c r="DW86"/>
      <c r="DX86"/>
      <c r="DY86"/>
      <c r="DZ86"/>
      <c r="EA86"/>
      <c r="EB86"/>
      <c r="EC86"/>
      <c r="ED86"/>
      <c r="EE86"/>
      <c r="EF86"/>
      <c r="EG86"/>
      <c r="EH86"/>
      <c r="EI86"/>
      <c r="EJ86"/>
      <c r="EK86"/>
      <c r="EL86"/>
      <c r="EM86"/>
      <c r="EN86"/>
      <c r="EO86"/>
      <c r="EP86"/>
      <c r="EQ86"/>
      <c r="ER86"/>
      <c r="ES86"/>
      <c r="ET86"/>
      <c r="EU86"/>
      <c r="EV86"/>
      <c r="EW86"/>
      <c r="EX86"/>
      <c r="EY86"/>
      <c r="EZ86"/>
      <c r="FA86"/>
      <c r="FB86"/>
      <c r="FC86"/>
      <c r="FD86"/>
      <c r="FE86"/>
      <c r="FF86"/>
      <c r="FG86"/>
      <c r="FH86"/>
      <c r="FI86"/>
      <c r="FJ86"/>
      <c r="FK86"/>
      <c r="FL86"/>
      <c r="FM86"/>
      <c r="FN86"/>
      <c r="FO86"/>
      <c r="FP86"/>
      <c r="FQ86"/>
      <c r="FR86"/>
      <c r="FS86"/>
      <c r="FT86"/>
      <c r="FU86"/>
      <c r="FV86"/>
      <c r="FW86"/>
      <c r="FX86"/>
      <c r="FY86"/>
      <c r="FZ86"/>
      <c r="GA86"/>
      <c r="GB86"/>
      <c r="GC86"/>
      <c r="GD86"/>
      <c r="GE86"/>
      <c r="GF86"/>
      <c r="GG86"/>
      <c r="GH86"/>
      <c r="GI86"/>
      <c r="GJ86"/>
      <c r="GK86"/>
      <c r="GL86"/>
      <c r="GM86"/>
      <c r="GN86"/>
      <c r="GO86"/>
      <c r="GP86"/>
      <c r="GQ86"/>
      <c r="GR86"/>
      <c r="GS86"/>
      <c r="GT86"/>
      <c r="GU86"/>
      <c r="GV86"/>
      <c r="GW86"/>
      <c r="GX86"/>
      <c r="GY86"/>
      <c r="GZ86"/>
      <c r="HA86"/>
      <c r="HB86"/>
      <c r="HC86"/>
      <c r="HD86"/>
      <c r="HE86"/>
      <c r="HF86"/>
      <c r="HG86"/>
      <c r="HH86"/>
      <c r="HI86"/>
      <c r="HJ86"/>
      <c r="HK86"/>
      <c r="HL86"/>
      <c r="HM86"/>
      <c r="HN86"/>
      <c r="HO86"/>
      <c r="HP86"/>
      <c r="HQ86"/>
      <c r="HR86"/>
      <c r="HS86"/>
      <c r="HT86"/>
      <c r="HU86"/>
      <c r="HV86"/>
      <c r="HW86"/>
      <c r="HX86"/>
      <c r="HY86"/>
      <c r="HZ86"/>
      <c r="IA86"/>
      <c r="IB86"/>
      <c r="IC86"/>
      <c r="ID86"/>
      <c r="IE86"/>
      <c r="IF86"/>
      <c r="IG86"/>
      <c r="IH86"/>
      <c r="II86"/>
      <c r="IJ86"/>
      <c r="IK86"/>
      <c r="IL86"/>
      <c r="IM86"/>
      <c r="IN86"/>
      <c r="IO86"/>
      <c r="IP86"/>
    </row>
    <row r="87" s="87" customFormat="1" customHeight="1" spans="1:250">
      <c r="A87" s="757"/>
      <c r="B87" s="49"/>
      <c r="C87" s="49"/>
      <c r="D87" s="49"/>
      <c r="E87" s="49"/>
      <c r="F87" s="49"/>
      <c r="G87" s="49"/>
      <c r="H87" s="49"/>
      <c r="J87"/>
      <c r="K87"/>
      <c r="L87"/>
      <c r="M87"/>
      <c r="N87"/>
      <c r="O87"/>
      <c r="P87"/>
      <c r="Q87"/>
      <c r="R87"/>
      <c r="S87"/>
      <c r="T87"/>
      <c r="U87"/>
      <c r="V87"/>
      <c r="W87"/>
      <c r="X87"/>
      <c r="Y87"/>
      <c r="Z87"/>
      <c r="AA87"/>
      <c r="AB87"/>
      <c r="AC87"/>
      <c r="AD87"/>
      <c r="AE87"/>
      <c r="AF87"/>
      <c r="AG87"/>
      <c r="AH87"/>
      <c r="AI87"/>
      <c r="AJ87"/>
      <c r="AK87"/>
      <c r="AL87"/>
      <c r="AM87"/>
      <c r="AN87"/>
      <c r="AO87"/>
      <c r="AP87"/>
      <c r="AQ87"/>
      <c r="AR87"/>
      <c r="AS87"/>
      <c r="AT87"/>
      <c r="AU87"/>
      <c r="AV87"/>
      <c r="AW87"/>
      <c r="AX87"/>
      <c r="AY87"/>
      <c r="AZ87"/>
      <c r="BA87"/>
      <c r="BB87"/>
      <c r="BC87"/>
      <c r="BD87"/>
      <c r="BE87"/>
      <c r="BF87"/>
      <c r="BG87"/>
      <c r="BH87"/>
      <c r="BI87"/>
      <c r="BJ87"/>
      <c r="BK87"/>
      <c r="BL87"/>
      <c r="BM87"/>
      <c r="BN87"/>
      <c r="BO87"/>
      <c r="BP87"/>
      <c r="BQ87"/>
      <c r="BR87"/>
      <c r="BS87"/>
      <c r="BT87"/>
      <c r="BU87"/>
      <c r="BV87"/>
      <c r="BW87"/>
      <c r="BX87"/>
      <c r="BY87"/>
      <c r="BZ87"/>
      <c r="CA87"/>
      <c r="CB87"/>
      <c r="CC87"/>
      <c r="CD87"/>
      <c r="CE87"/>
      <c r="CF87"/>
      <c r="CG87"/>
      <c r="CH87"/>
      <c r="CI87"/>
      <c r="CJ87"/>
      <c r="CK87"/>
      <c r="CL87"/>
      <c r="CM87"/>
      <c r="CN87"/>
      <c r="CO87"/>
      <c r="CP87"/>
      <c r="CQ87"/>
      <c r="CR87"/>
      <c r="CS87"/>
      <c r="CT87"/>
      <c r="CU87"/>
      <c r="CV87"/>
      <c r="CW87"/>
      <c r="CX87"/>
      <c r="CY87"/>
      <c r="CZ87"/>
      <c r="DA87"/>
      <c r="DB87"/>
      <c r="DC87"/>
      <c r="DD87"/>
      <c r="DE87"/>
      <c r="DF87"/>
      <c r="DG87"/>
      <c r="DH87"/>
      <c r="DI87"/>
      <c r="DJ87"/>
      <c r="DK87"/>
      <c r="DL87"/>
      <c r="DM87"/>
      <c r="DN87"/>
      <c r="DO87"/>
      <c r="DP87"/>
      <c r="DQ87"/>
      <c r="DR87"/>
      <c r="DS87"/>
      <c r="DT87"/>
      <c r="DU87"/>
      <c r="DV87"/>
      <c r="DW87"/>
      <c r="DX87"/>
      <c r="DY87"/>
      <c r="DZ87"/>
      <c r="EA87"/>
      <c r="EB87"/>
      <c r="EC87"/>
      <c r="ED87"/>
      <c r="EE87"/>
      <c r="EF87"/>
      <c r="EG87"/>
      <c r="EH87"/>
      <c r="EI87"/>
      <c r="EJ87"/>
      <c r="EK87"/>
      <c r="EL87"/>
      <c r="EM87"/>
      <c r="EN87"/>
      <c r="EO87"/>
      <c r="EP87"/>
      <c r="EQ87"/>
      <c r="ER87"/>
      <c r="ES87"/>
      <c r="ET87"/>
      <c r="EU87"/>
      <c r="EV87"/>
      <c r="EW87"/>
      <c r="EX87"/>
      <c r="EY87"/>
      <c r="EZ87"/>
      <c r="FA87"/>
      <c r="FB87"/>
      <c r="FC87"/>
      <c r="FD87"/>
      <c r="FE87"/>
      <c r="FF87"/>
      <c r="FG87"/>
      <c r="FH87"/>
      <c r="FI87"/>
      <c r="FJ87"/>
      <c r="FK87"/>
      <c r="FL87"/>
      <c r="FM87"/>
      <c r="FN87"/>
      <c r="FO87"/>
      <c r="FP87"/>
      <c r="FQ87"/>
      <c r="FR87"/>
      <c r="FS87"/>
      <c r="FT87"/>
      <c r="FU87"/>
      <c r="FV87"/>
      <c r="FW87"/>
      <c r="FX87"/>
      <c r="FY87"/>
      <c r="FZ87"/>
      <c r="GA87"/>
      <c r="GB87"/>
      <c r="GC87"/>
      <c r="GD87"/>
      <c r="GE87"/>
      <c r="GF87"/>
      <c r="GG87"/>
      <c r="GH87"/>
      <c r="GI87"/>
      <c r="GJ87"/>
      <c r="GK87"/>
      <c r="GL87"/>
      <c r="GM87"/>
      <c r="GN87"/>
      <c r="GO87"/>
      <c r="GP87"/>
      <c r="GQ87"/>
      <c r="GR87"/>
      <c r="GS87"/>
      <c r="GT87"/>
      <c r="GU87"/>
      <c r="GV87"/>
      <c r="GW87"/>
      <c r="GX87"/>
      <c r="GY87"/>
      <c r="GZ87"/>
      <c r="HA87"/>
      <c r="HB87"/>
      <c r="HC87"/>
      <c r="HD87"/>
      <c r="HE87"/>
      <c r="HF87"/>
      <c r="HG87"/>
      <c r="HH87"/>
      <c r="HI87"/>
      <c r="HJ87"/>
      <c r="HK87"/>
      <c r="HL87"/>
      <c r="HM87"/>
      <c r="HN87"/>
      <c r="HO87"/>
      <c r="HP87"/>
      <c r="HQ87"/>
      <c r="HR87"/>
      <c r="HS87"/>
      <c r="HT87"/>
      <c r="HU87"/>
      <c r="HV87"/>
      <c r="HW87"/>
      <c r="HX87"/>
      <c r="HY87"/>
      <c r="HZ87"/>
      <c r="IA87"/>
      <c r="IB87"/>
      <c r="IC87"/>
      <c r="ID87"/>
      <c r="IE87"/>
      <c r="IF87"/>
      <c r="IG87"/>
      <c r="IH87"/>
      <c r="II87"/>
      <c r="IJ87"/>
      <c r="IK87"/>
      <c r="IL87"/>
      <c r="IM87"/>
      <c r="IN87"/>
      <c r="IO87"/>
      <c r="IP87"/>
    </row>
    <row r="88" s="678" customFormat="1" customHeight="1" spans="1:250">
      <c r="A88" s="200"/>
      <c r="B88" s="682" t="s">
        <v>137</v>
      </c>
      <c r="C88" s="683"/>
      <c r="D88" s="683"/>
      <c r="E88" s="683"/>
      <c r="F88" s="683"/>
      <c r="G88" s="683"/>
      <c r="H88" s="684"/>
      <c r="I88" s="200"/>
      <c r="J88"/>
      <c r="K88"/>
      <c r="L88"/>
      <c r="M88"/>
      <c r="N88"/>
      <c r="O88"/>
      <c r="P88"/>
      <c r="Q88"/>
      <c r="R88"/>
      <c r="S88"/>
      <c r="T88"/>
      <c r="U88"/>
      <c r="V88"/>
      <c r="W88"/>
      <c r="X88"/>
      <c r="Y88"/>
      <c r="Z88"/>
      <c r="AA88"/>
      <c r="AB88"/>
      <c r="AC88"/>
      <c r="AD88"/>
      <c r="AE88"/>
      <c r="AF88"/>
      <c r="AG88"/>
      <c r="AH88"/>
      <c r="AI88"/>
      <c r="AJ88"/>
      <c r="AK88"/>
      <c r="AL88"/>
      <c r="AM88"/>
      <c r="AN88"/>
      <c r="AO88"/>
      <c r="AP88"/>
      <c r="AQ88"/>
      <c r="AR88"/>
      <c r="AS88"/>
      <c r="AT88"/>
      <c r="AU88"/>
      <c r="AV88"/>
      <c r="AW88"/>
      <c r="AX88"/>
      <c r="AY88"/>
      <c r="AZ88"/>
      <c r="BA88"/>
      <c r="BB88"/>
      <c r="BC88"/>
      <c r="BD88"/>
      <c r="BE88"/>
      <c r="BF88"/>
      <c r="BG88"/>
      <c r="BH88"/>
      <c r="BI88"/>
      <c r="BJ88"/>
      <c r="BK88"/>
      <c r="BL88"/>
      <c r="BM88"/>
      <c r="BN88"/>
      <c r="BO88"/>
      <c r="BP88"/>
      <c r="BQ88"/>
      <c r="BR88"/>
      <c r="BS88"/>
      <c r="BT88"/>
      <c r="BU88"/>
      <c r="BV88"/>
      <c r="BW88"/>
      <c r="BX88"/>
      <c r="BY88"/>
      <c r="BZ88"/>
      <c r="CA88"/>
      <c r="CB88"/>
      <c r="CC88"/>
      <c r="CD88"/>
      <c r="CE88"/>
      <c r="CF88"/>
      <c r="CG88"/>
      <c r="CH88"/>
      <c r="CI88"/>
      <c r="CJ88"/>
      <c r="CK88"/>
      <c r="CL88"/>
      <c r="CM88"/>
      <c r="CN88"/>
      <c r="CO88"/>
      <c r="CP88"/>
      <c r="CQ88"/>
      <c r="CR88"/>
      <c r="CS88"/>
      <c r="CT88"/>
      <c r="CU88"/>
      <c r="CV88"/>
      <c r="CW88"/>
      <c r="CX88"/>
      <c r="CY88"/>
      <c r="CZ88"/>
      <c r="DA88"/>
      <c r="DB88"/>
      <c r="DC88"/>
      <c r="DD88"/>
      <c r="DE88"/>
      <c r="DF88"/>
      <c r="DG88"/>
      <c r="DH88"/>
      <c r="DI88"/>
      <c r="DJ88"/>
      <c r="DK88"/>
      <c r="DL88"/>
      <c r="DM88"/>
      <c r="DN88"/>
      <c r="DO88"/>
      <c r="DP88"/>
      <c r="DQ88"/>
      <c r="DR88"/>
      <c r="DS88"/>
      <c r="DT88"/>
      <c r="DU88"/>
      <c r="DV88"/>
      <c r="DW88"/>
      <c r="DX88"/>
      <c r="DY88"/>
      <c r="DZ88"/>
      <c r="EA88"/>
      <c r="EB88"/>
      <c r="EC88"/>
      <c r="ED88"/>
      <c r="EE88"/>
      <c r="EF88"/>
      <c r="EG88"/>
      <c r="EH88"/>
      <c r="EI88"/>
      <c r="EJ88"/>
      <c r="EK88"/>
      <c r="EL88"/>
      <c r="EM88"/>
      <c r="EN88"/>
      <c r="EO88"/>
      <c r="EP88"/>
      <c r="EQ88"/>
      <c r="ER88"/>
      <c r="ES88"/>
      <c r="ET88"/>
      <c r="EU88"/>
      <c r="EV88"/>
      <c r="EW88"/>
      <c r="EX88"/>
      <c r="EY88"/>
      <c r="EZ88"/>
      <c r="FA88"/>
      <c r="FB88"/>
      <c r="FC88"/>
      <c r="FD88"/>
      <c r="FE88"/>
      <c r="FF88"/>
      <c r="FG88"/>
      <c r="FH88"/>
      <c r="FI88"/>
      <c r="FJ88"/>
      <c r="FK88"/>
      <c r="FL88"/>
      <c r="FM88"/>
      <c r="FN88"/>
      <c r="FO88"/>
      <c r="FP88"/>
      <c r="FQ88"/>
      <c r="FR88"/>
      <c r="FS88"/>
      <c r="FT88"/>
      <c r="FU88"/>
      <c r="FV88"/>
      <c r="FW88"/>
      <c r="FX88"/>
      <c r="FY88"/>
      <c r="FZ88"/>
      <c r="GA88"/>
      <c r="GB88"/>
      <c r="GC88"/>
      <c r="GD88"/>
      <c r="GE88"/>
      <c r="GF88"/>
      <c r="GG88"/>
      <c r="GH88"/>
      <c r="GI88"/>
      <c r="GJ88"/>
      <c r="GK88"/>
      <c r="GL88"/>
      <c r="GM88"/>
      <c r="GN88"/>
      <c r="GO88"/>
      <c r="GP88"/>
      <c r="GQ88"/>
      <c r="GR88"/>
      <c r="GS88"/>
      <c r="GT88"/>
      <c r="GU88"/>
      <c r="GV88"/>
      <c r="GW88"/>
      <c r="GX88"/>
      <c r="GY88"/>
      <c r="GZ88"/>
      <c r="HA88"/>
      <c r="HB88"/>
      <c r="HC88"/>
      <c r="HD88"/>
      <c r="HE88"/>
      <c r="HF88"/>
      <c r="HG88"/>
      <c r="HH88"/>
      <c r="HI88"/>
      <c r="HJ88"/>
      <c r="HK88"/>
      <c r="HL88"/>
      <c r="HM88"/>
      <c r="HN88"/>
      <c r="HO88"/>
      <c r="HP88"/>
      <c r="HQ88"/>
      <c r="HR88"/>
      <c r="HS88"/>
      <c r="HT88"/>
      <c r="HU88"/>
      <c r="HV88"/>
      <c r="HW88"/>
      <c r="HX88"/>
      <c r="HY88"/>
      <c r="HZ88"/>
      <c r="IA88"/>
      <c r="IB88"/>
      <c r="IC88"/>
      <c r="ID88"/>
      <c r="IE88"/>
      <c r="IF88"/>
      <c r="IG88"/>
      <c r="IH88"/>
      <c r="II88"/>
      <c r="IJ88"/>
      <c r="IK88"/>
      <c r="IL88"/>
      <c r="IM88"/>
      <c r="IN88"/>
      <c r="IO88"/>
      <c r="IP88"/>
    </row>
    <row r="89" s="678" customFormat="1" customHeight="1" spans="1:250">
      <c r="A89" s="201"/>
      <c r="B89" s="686" t="s">
        <v>135</v>
      </c>
      <c r="C89" s="687"/>
      <c r="D89" s="687"/>
      <c r="E89" s="687"/>
      <c r="F89" s="688"/>
      <c r="G89" s="758" t="s">
        <v>100</v>
      </c>
      <c r="H89" s="690"/>
      <c r="I89" s="201"/>
      <c r="J89"/>
      <c r="K89"/>
      <c r="L89"/>
      <c r="M89"/>
      <c r="N89"/>
      <c r="O89"/>
      <c r="P89"/>
      <c r="Q89"/>
      <c r="R89"/>
      <c r="S89"/>
      <c r="T89"/>
      <c r="U89"/>
      <c r="V89"/>
      <c r="W89"/>
      <c r="X89"/>
      <c r="Y89"/>
      <c r="Z89"/>
      <c r="AA89"/>
      <c r="AB89"/>
      <c r="AC89"/>
      <c r="AD89"/>
      <c r="AE89"/>
      <c r="AF89"/>
      <c r="AG89"/>
      <c r="AH89"/>
      <c r="AI89"/>
      <c r="AJ89"/>
      <c r="AK89"/>
      <c r="AL89"/>
      <c r="AM89"/>
      <c r="AN89"/>
      <c r="AO89"/>
      <c r="AP89"/>
      <c r="AQ89"/>
      <c r="AR89"/>
      <c r="AS89"/>
      <c r="AT89"/>
      <c r="AU89"/>
      <c r="AV89"/>
      <c r="AW89"/>
      <c r="AX89"/>
      <c r="AY89"/>
      <c r="AZ89"/>
      <c r="BA89"/>
      <c r="BB89"/>
      <c r="BC89"/>
      <c r="BD89"/>
      <c r="BE89"/>
      <c r="BF89"/>
      <c r="BG89"/>
      <c r="BH89"/>
      <c r="BI89"/>
      <c r="BJ89"/>
      <c r="BK89"/>
      <c r="BL89"/>
      <c r="BM89"/>
      <c r="BN89"/>
      <c r="BO89"/>
      <c r="BP89"/>
      <c r="BQ89"/>
      <c r="BR89"/>
      <c r="BS89"/>
      <c r="BT89"/>
      <c r="BU89"/>
      <c r="BV89"/>
      <c r="BW89"/>
      <c r="BX89"/>
      <c r="BY89"/>
      <c r="BZ89"/>
      <c r="CA89"/>
      <c r="CB89"/>
      <c r="CC89"/>
      <c r="CD89"/>
      <c r="CE89"/>
      <c r="CF89"/>
      <c r="CG89"/>
      <c r="CH89"/>
      <c r="CI89"/>
      <c r="CJ89"/>
      <c r="CK89"/>
      <c r="CL89"/>
      <c r="CM89"/>
      <c r="CN89"/>
      <c r="CO89"/>
      <c r="CP89"/>
      <c r="CQ89"/>
      <c r="CR89"/>
      <c r="CS89"/>
      <c r="CT89"/>
      <c r="CU89"/>
      <c r="CV89"/>
      <c r="CW89"/>
      <c r="CX89"/>
      <c r="CY89"/>
      <c r="CZ89"/>
      <c r="DA89"/>
      <c r="DB89"/>
      <c r="DC89"/>
      <c r="DD89"/>
      <c r="DE89"/>
      <c r="DF89"/>
      <c r="DG89"/>
      <c r="DH89"/>
      <c r="DI89"/>
      <c r="DJ89"/>
      <c r="DK89"/>
      <c r="DL89"/>
      <c r="DM89"/>
      <c r="DN89"/>
      <c r="DO89"/>
      <c r="DP89"/>
      <c r="DQ89"/>
      <c r="DR89"/>
      <c r="DS89"/>
      <c r="DT89"/>
      <c r="DU89"/>
      <c r="DV89"/>
      <c r="DW89"/>
      <c r="DX89"/>
      <c r="DY89"/>
      <c r="DZ89"/>
      <c r="EA89"/>
      <c r="EB89"/>
      <c r="EC89"/>
      <c r="ED89"/>
      <c r="EE89"/>
      <c r="EF89"/>
      <c r="EG89"/>
      <c r="EH89"/>
      <c r="EI89"/>
      <c r="EJ89"/>
      <c r="EK89"/>
      <c r="EL89"/>
      <c r="EM89"/>
      <c r="EN89"/>
      <c r="EO89"/>
      <c r="EP89"/>
      <c r="EQ89"/>
      <c r="ER89"/>
      <c r="ES89"/>
      <c r="ET89"/>
      <c r="EU89"/>
      <c r="EV89"/>
      <c r="EW89"/>
      <c r="EX89"/>
      <c r="EY89"/>
      <c r="EZ89"/>
      <c r="FA89"/>
      <c r="FB89"/>
      <c r="FC89"/>
      <c r="FD89"/>
      <c r="FE89"/>
      <c r="FF89"/>
      <c r="FG89"/>
      <c r="FH89"/>
      <c r="FI89"/>
      <c r="FJ89"/>
      <c r="FK89"/>
      <c r="FL89"/>
      <c r="FM89"/>
      <c r="FN89"/>
      <c r="FO89"/>
      <c r="FP89"/>
      <c r="FQ89"/>
      <c r="FR89"/>
      <c r="FS89"/>
      <c r="FT89"/>
      <c r="FU89"/>
      <c r="FV89"/>
      <c r="FW89"/>
      <c r="FX89"/>
      <c r="FY89"/>
      <c r="FZ89"/>
      <c r="GA89"/>
      <c r="GB89"/>
      <c r="GC89"/>
      <c r="GD89"/>
      <c r="GE89"/>
      <c r="GF89"/>
      <c r="GG89"/>
      <c r="GH89"/>
      <c r="GI89"/>
      <c r="GJ89"/>
      <c r="GK89"/>
      <c r="GL89"/>
      <c r="GM89"/>
      <c r="GN89"/>
      <c r="GO89"/>
      <c r="GP89"/>
      <c r="GQ89"/>
      <c r="GR89"/>
      <c r="GS89"/>
      <c r="GT89"/>
      <c r="GU89"/>
      <c r="GV89"/>
      <c r="GW89"/>
      <c r="GX89"/>
      <c r="GY89"/>
      <c r="GZ89"/>
      <c r="HA89"/>
      <c r="HB89"/>
      <c r="HC89"/>
      <c r="HD89"/>
      <c r="HE89"/>
      <c r="HF89"/>
      <c r="HG89"/>
      <c r="HH89"/>
      <c r="HI89"/>
      <c r="HJ89"/>
      <c r="HK89"/>
      <c r="HL89"/>
      <c r="HM89"/>
      <c r="HN89"/>
      <c r="HO89"/>
      <c r="HP89"/>
      <c r="HQ89"/>
      <c r="HR89"/>
      <c r="HS89"/>
      <c r="HT89"/>
      <c r="HU89"/>
      <c r="HV89"/>
      <c r="HW89"/>
      <c r="HX89"/>
      <c r="HY89"/>
      <c r="HZ89"/>
      <c r="IA89"/>
      <c r="IB89"/>
      <c r="IC89"/>
      <c r="ID89"/>
      <c r="IE89"/>
      <c r="IF89"/>
      <c r="IG89"/>
      <c r="IH89"/>
      <c r="II89"/>
      <c r="IJ89"/>
      <c r="IK89"/>
      <c r="IL89"/>
      <c r="IM89"/>
      <c r="IN89"/>
      <c r="IO89"/>
      <c r="IP89"/>
    </row>
    <row r="90" s="678" customFormat="1" customHeight="1" spans="1:250">
      <c r="A90" s="201"/>
      <c r="B90" s="691" t="str">
        <f>IF(ZonaMonetizzazioneParcheg&lt;&gt;"",(VLOOKUP(ZonaMonetizzazioneParcheg,Parametri_ElencoZoneParcheggiMatrice,2,FALSE)),"")</f>
        <v>Selezionare la zona</v>
      </c>
      <c r="C90" s="692"/>
      <c r="D90" s="692"/>
      <c r="E90" s="692"/>
      <c r="F90" s="693"/>
      <c r="G90" s="759"/>
      <c r="H90" s="690"/>
      <c r="I90" s="201"/>
      <c r="J90"/>
      <c r="K90"/>
      <c r="L90"/>
      <c r="M90"/>
      <c r="N90"/>
      <c r="O90"/>
      <c r="P90"/>
      <c r="Q90"/>
      <c r="R90"/>
      <c r="S90"/>
      <c r="T90"/>
      <c r="U90"/>
      <c r="V90"/>
      <c r="W90"/>
      <c r="X90"/>
      <c r="Y90"/>
      <c r="Z90"/>
      <c r="AA90"/>
      <c r="AB90"/>
      <c r="AC90"/>
      <c r="AD90"/>
      <c r="AE90"/>
      <c r="AF90"/>
      <c r="AG90"/>
      <c r="AH90"/>
      <c r="AI90"/>
      <c r="AJ90"/>
      <c r="AK90"/>
      <c r="AL90"/>
      <c r="AM90"/>
      <c r="AN90"/>
      <c r="AO90"/>
      <c r="AP90"/>
      <c r="AQ90"/>
      <c r="AR90"/>
      <c r="AS90"/>
      <c r="AT90"/>
      <c r="AU90"/>
      <c r="AV90"/>
      <c r="AW90"/>
      <c r="AX90"/>
      <c r="AY90"/>
      <c r="AZ90"/>
      <c r="BA90"/>
      <c r="BB90"/>
      <c r="BC90"/>
      <c r="BD90"/>
      <c r="BE90"/>
      <c r="BF90"/>
      <c r="BG90"/>
      <c r="BH90"/>
      <c r="BI90"/>
      <c r="BJ90"/>
      <c r="BK90"/>
      <c r="BL90"/>
      <c r="BM90"/>
      <c r="BN90"/>
      <c r="BO90"/>
      <c r="BP90"/>
      <c r="BQ90"/>
      <c r="BR90"/>
      <c r="BS90"/>
      <c r="BT90"/>
      <c r="BU90"/>
      <c r="BV90"/>
      <c r="BW90"/>
      <c r="BX90"/>
      <c r="BY90"/>
      <c r="BZ90"/>
      <c r="CA90"/>
      <c r="CB90"/>
      <c r="CC90"/>
      <c r="CD90"/>
      <c r="CE90"/>
      <c r="CF90"/>
      <c r="CG90"/>
      <c r="CH90"/>
      <c r="CI90"/>
      <c r="CJ90"/>
      <c r="CK90"/>
      <c r="CL90"/>
      <c r="CM90"/>
      <c r="CN90"/>
      <c r="CO90"/>
      <c r="CP90"/>
      <c r="CQ90"/>
      <c r="CR90"/>
      <c r="CS90"/>
      <c r="CT90"/>
      <c r="CU90"/>
      <c r="CV90"/>
      <c r="CW90"/>
      <c r="CX90"/>
      <c r="CY90"/>
      <c r="CZ90"/>
      <c r="DA90"/>
      <c r="DB90"/>
      <c r="DC90"/>
      <c r="DD90"/>
      <c r="DE90"/>
      <c r="DF90"/>
      <c r="DG90"/>
      <c r="DH90"/>
      <c r="DI90"/>
      <c r="DJ90"/>
      <c r="DK90"/>
      <c r="DL90"/>
      <c r="DM90"/>
      <c r="DN90"/>
      <c r="DO90"/>
      <c r="DP90"/>
      <c r="DQ90"/>
      <c r="DR90"/>
      <c r="DS90"/>
      <c r="DT90"/>
      <c r="DU90"/>
      <c r="DV90"/>
      <c r="DW90"/>
      <c r="DX90"/>
      <c r="DY90"/>
      <c r="DZ90"/>
      <c r="EA90"/>
      <c r="EB90"/>
      <c r="EC90"/>
      <c r="ED90"/>
      <c r="EE90"/>
      <c r="EF90"/>
      <c r="EG90"/>
      <c r="EH90"/>
      <c r="EI90"/>
      <c r="EJ90"/>
      <c r="EK90"/>
      <c r="EL90"/>
      <c r="EM90"/>
      <c r="EN90"/>
      <c r="EO90"/>
      <c r="EP90"/>
      <c r="EQ90"/>
      <c r="ER90"/>
      <c r="ES90"/>
      <c r="ET90"/>
      <c r="EU90"/>
      <c r="EV90"/>
      <c r="EW90"/>
      <c r="EX90"/>
      <c r="EY90"/>
      <c r="EZ90"/>
      <c r="FA90"/>
      <c r="FB90"/>
      <c r="FC90"/>
      <c r="FD90"/>
      <c r="FE90"/>
      <c r="FF90"/>
      <c r="FG90"/>
      <c r="FH90"/>
      <c r="FI90"/>
      <c r="FJ90"/>
      <c r="FK90"/>
      <c r="FL90"/>
      <c r="FM90"/>
      <c r="FN90"/>
      <c r="FO90"/>
      <c r="FP90"/>
      <c r="FQ90"/>
      <c r="FR90"/>
      <c r="FS90"/>
      <c r="FT90"/>
      <c r="FU90"/>
      <c r="FV90"/>
      <c r="FW90"/>
      <c r="FX90"/>
      <c r="FY90"/>
      <c r="FZ90"/>
      <c r="GA90"/>
      <c r="GB90"/>
      <c r="GC90"/>
      <c r="GD90"/>
      <c r="GE90"/>
      <c r="GF90"/>
      <c r="GG90"/>
      <c r="GH90"/>
      <c r="GI90"/>
      <c r="GJ90"/>
      <c r="GK90"/>
      <c r="GL90"/>
      <c r="GM90"/>
      <c r="GN90"/>
      <c r="GO90"/>
      <c r="GP90"/>
      <c r="GQ90"/>
      <c r="GR90"/>
      <c r="GS90"/>
      <c r="GT90"/>
      <c r="GU90"/>
      <c r="GV90"/>
      <c r="GW90"/>
      <c r="GX90"/>
      <c r="GY90"/>
      <c r="GZ90"/>
      <c r="HA90"/>
      <c r="HB90"/>
      <c r="HC90"/>
      <c r="HD90"/>
      <c r="HE90"/>
      <c r="HF90"/>
      <c r="HG90"/>
      <c r="HH90"/>
      <c r="HI90"/>
      <c r="HJ90"/>
      <c r="HK90"/>
      <c r="HL90"/>
      <c r="HM90"/>
      <c r="HN90"/>
      <c r="HO90"/>
      <c r="HP90"/>
      <c r="HQ90"/>
      <c r="HR90"/>
      <c r="HS90"/>
      <c r="HT90"/>
      <c r="HU90"/>
      <c r="HV90"/>
      <c r="HW90"/>
      <c r="HX90"/>
      <c r="HY90"/>
      <c r="HZ90"/>
      <c r="IA90"/>
      <c r="IB90"/>
      <c r="IC90"/>
      <c r="ID90"/>
      <c r="IE90"/>
      <c r="IF90"/>
      <c r="IG90"/>
      <c r="IH90"/>
      <c r="II90"/>
      <c r="IJ90"/>
      <c r="IK90"/>
      <c r="IL90"/>
      <c r="IM90"/>
      <c r="IN90"/>
      <c r="IO90"/>
      <c r="IP90"/>
    </row>
    <row r="91" s="679" customFormat="1" customHeight="1" spans="1:250">
      <c r="A91" s="201"/>
      <c r="B91" s="694" t="s">
        <v>136</v>
      </c>
      <c r="C91" s="695"/>
      <c r="D91" s="695"/>
      <c r="E91" s="695"/>
      <c r="F91" s="696"/>
      <c r="G91" s="756">
        <v>0</v>
      </c>
      <c r="H91" s="690"/>
      <c r="I91" s="201"/>
      <c r="J91"/>
      <c r="K91"/>
      <c r="L91"/>
      <c r="M91"/>
      <c r="N91"/>
      <c r="O91"/>
      <c r="P91"/>
      <c r="Q91"/>
      <c r="R91"/>
      <c r="S91"/>
      <c r="T91"/>
      <c r="U91"/>
      <c r="V91"/>
      <c r="W91"/>
      <c r="X91"/>
      <c r="Y91"/>
      <c r="Z91"/>
      <c r="AA91"/>
      <c r="AB91"/>
      <c r="AC91"/>
      <c r="AD91"/>
      <c r="AE91"/>
      <c r="AF91"/>
      <c r="AG91"/>
      <c r="AH91"/>
      <c r="AI91"/>
      <c r="AJ91"/>
      <c r="AK91"/>
      <c r="AL91"/>
      <c r="AM91"/>
      <c r="AN91"/>
      <c r="AO91"/>
      <c r="AP91"/>
      <c r="AQ91"/>
      <c r="AR91"/>
      <c r="AS91"/>
      <c r="AT91"/>
      <c r="AU91"/>
      <c r="AV91"/>
      <c r="AW91"/>
      <c r="AX91"/>
      <c r="AY91"/>
      <c r="AZ91"/>
      <c r="BA91"/>
      <c r="BB91"/>
      <c r="BC91"/>
      <c r="BD91"/>
      <c r="BE91"/>
      <c r="BF91"/>
      <c r="BG91"/>
      <c r="BH91"/>
      <c r="BI91"/>
      <c r="BJ91"/>
      <c r="BK91"/>
      <c r="BL91"/>
      <c r="BM91"/>
      <c r="BN91"/>
      <c r="BO91"/>
      <c r="BP91"/>
      <c r="BQ91"/>
      <c r="BR91"/>
      <c r="BS91"/>
      <c r="BT91"/>
      <c r="BU91"/>
      <c r="BV91"/>
      <c r="BW91"/>
      <c r="BX91"/>
      <c r="BY91"/>
      <c r="BZ91"/>
      <c r="CA91"/>
      <c r="CB91"/>
      <c r="CC91"/>
      <c r="CD91"/>
      <c r="CE91"/>
      <c r="CF91"/>
      <c r="CG91"/>
      <c r="CH91"/>
      <c r="CI91"/>
      <c r="CJ91"/>
      <c r="CK91"/>
      <c r="CL91"/>
      <c r="CM91"/>
      <c r="CN91"/>
      <c r="CO91"/>
      <c r="CP91"/>
      <c r="CQ91"/>
      <c r="CR91"/>
      <c r="CS91"/>
      <c r="CT91"/>
      <c r="CU91"/>
      <c r="CV91"/>
      <c r="CW91"/>
      <c r="CX91"/>
      <c r="CY91"/>
      <c r="CZ91"/>
      <c r="DA91"/>
      <c r="DB91"/>
      <c r="DC91"/>
      <c r="DD91"/>
      <c r="DE91"/>
      <c r="DF91"/>
      <c r="DG91"/>
      <c r="DH91"/>
      <c r="DI91"/>
      <c r="DJ91"/>
      <c r="DK91"/>
      <c r="DL91"/>
      <c r="DM91"/>
      <c r="DN91"/>
      <c r="DO91"/>
      <c r="DP91"/>
      <c r="DQ91"/>
      <c r="DR91"/>
      <c r="DS91"/>
      <c r="DT91"/>
      <c r="DU91"/>
      <c r="DV91"/>
      <c r="DW91"/>
      <c r="DX91"/>
      <c r="DY91"/>
      <c r="DZ91"/>
      <c r="EA91"/>
      <c r="EB91"/>
      <c r="EC91"/>
      <c r="ED91"/>
      <c r="EE91"/>
      <c r="EF91"/>
      <c r="EG91"/>
      <c r="EH91"/>
      <c r="EI91"/>
      <c r="EJ91"/>
      <c r="EK91"/>
      <c r="EL91"/>
      <c r="EM91"/>
      <c r="EN91"/>
      <c r="EO91"/>
      <c r="EP91"/>
      <c r="EQ91"/>
      <c r="ER91"/>
      <c r="ES91"/>
      <c r="ET91"/>
      <c r="EU91"/>
      <c r="EV91"/>
      <c r="EW91"/>
      <c r="EX91"/>
      <c r="EY91"/>
      <c r="EZ91"/>
      <c r="FA91"/>
      <c r="FB91"/>
      <c r="FC91"/>
      <c r="FD91"/>
      <c r="FE91"/>
      <c r="FF91"/>
      <c r="FG91"/>
      <c r="FH91"/>
      <c r="FI91"/>
      <c r="FJ91"/>
      <c r="FK91"/>
      <c r="FL91"/>
      <c r="FM91"/>
      <c r="FN91"/>
      <c r="FO91"/>
      <c r="FP91"/>
      <c r="FQ91"/>
      <c r="FR91"/>
      <c r="FS91"/>
      <c r="FT91"/>
      <c r="FU91"/>
      <c r="FV91"/>
      <c r="FW91"/>
      <c r="FX91"/>
      <c r="FY91"/>
      <c r="FZ91"/>
      <c r="GA91"/>
      <c r="GB91"/>
      <c r="GC91"/>
      <c r="GD91"/>
      <c r="GE91"/>
      <c r="GF91"/>
      <c r="GG91"/>
      <c r="GH91"/>
      <c r="GI91"/>
      <c r="GJ91"/>
      <c r="GK91"/>
      <c r="GL91"/>
      <c r="GM91"/>
      <c r="GN91"/>
      <c r="GO91"/>
      <c r="GP91"/>
      <c r="GQ91"/>
      <c r="GR91"/>
      <c r="GS91"/>
      <c r="GT91"/>
      <c r="GU91"/>
      <c r="GV91"/>
      <c r="GW91"/>
      <c r="GX91"/>
      <c r="GY91"/>
      <c r="GZ91"/>
      <c r="HA91"/>
      <c r="HB91"/>
      <c r="HC91"/>
      <c r="HD91"/>
      <c r="HE91"/>
      <c r="HF91"/>
      <c r="HG91"/>
      <c r="HH91"/>
      <c r="HI91"/>
      <c r="HJ91"/>
      <c r="HK91"/>
      <c r="HL91"/>
      <c r="HM91"/>
      <c r="HN91"/>
      <c r="HO91"/>
      <c r="HP91"/>
      <c r="HQ91"/>
      <c r="HR91"/>
      <c r="HS91"/>
      <c r="HT91"/>
      <c r="HU91"/>
      <c r="HV91"/>
      <c r="HW91"/>
      <c r="HX91"/>
      <c r="HY91"/>
      <c r="HZ91"/>
      <c r="IA91"/>
      <c r="IB91"/>
      <c r="IC91"/>
      <c r="ID91"/>
      <c r="IE91"/>
      <c r="IF91"/>
      <c r="IG91"/>
      <c r="IH91"/>
      <c r="II91"/>
      <c r="IJ91"/>
      <c r="IK91"/>
      <c r="IL91"/>
      <c r="IM91"/>
      <c r="IN91"/>
      <c r="IO91"/>
      <c r="IP91"/>
    </row>
    <row r="92" s="678" customFormat="1" customHeight="1" spans="1:250">
      <c r="A92" s="201"/>
      <c r="B92" s="705"/>
      <c r="C92" s="706"/>
      <c r="D92" s="706"/>
      <c r="E92" s="706"/>
      <c r="F92" s="706"/>
      <c r="G92" s="706"/>
      <c r="H92" s="707"/>
      <c r="I92" s="201"/>
      <c r="J92"/>
      <c r="K92"/>
      <c r="L92"/>
      <c r="M92"/>
      <c r="N92"/>
      <c r="O92"/>
      <c r="P92"/>
      <c r="Q92"/>
      <c r="R92"/>
      <c r="S92"/>
      <c r="T92"/>
      <c r="U92"/>
      <c r="V92"/>
      <c r="W92"/>
      <c r="X92"/>
      <c r="Y92"/>
      <c r="Z92"/>
      <c r="AA92"/>
      <c r="AB92"/>
      <c r="AC92"/>
      <c r="AD92"/>
      <c r="AE92"/>
      <c r="AF92"/>
      <c r="AG92"/>
      <c r="AH92"/>
      <c r="AI92"/>
      <c r="AJ92"/>
      <c r="AK92"/>
      <c r="AL92"/>
      <c r="AM92"/>
      <c r="AN92"/>
      <c r="AO92"/>
      <c r="AP92"/>
      <c r="AQ92"/>
      <c r="AR92"/>
      <c r="AS92"/>
      <c r="AT92"/>
      <c r="AU92"/>
      <c r="AV92"/>
      <c r="AW92"/>
      <c r="AX92"/>
      <c r="AY92"/>
      <c r="AZ92"/>
      <c r="BA92"/>
      <c r="BB92"/>
      <c r="BC92"/>
      <c r="BD92"/>
      <c r="BE92"/>
      <c r="BF92"/>
      <c r="BG92"/>
      <c r="BH92"/>
      <c r="BI92"/>
      <c r="BJ92"/>
      <c r="BK92"/>
      <c r="BL92"/>
      <c r="BM92"/>
      <c r="BN92"/>
      <c r="BO92"/>
      <c r="BP92"/>
      <c r="BQ92"/>
      <c r="BR92"/>
      <c r="BS92"/>
      <c r="BT92"/>
      <c r="BU92"/>
      <c r="BV92"/>
      <c r="BW92"/>
      <c r="BX92"/>
      <c r="BY92"/>
      <c r="BZ92"/>
      <c r="CA92"/>
      <c r="CB92"/>
      <c r="CC92"/>
      <c r="CD92"/>
      <c r="CE92"/>
      <c r="CF92"/>
      <c r="CG92"/>
      <c r="CH92"/>
      <c r="CI92"/>
      <c r="CJ92"/>
      <c r="CK92"/>
      <c r="CL92"/>
      <c r="CM92"/>
      <c r="CN92"/>
      <c r="CO92"/>
      <c r="CP92"/>
      <c r="CQ92"/>
      <c r="CR92"/>
      <c r="CS92"/>
      <c r="CT92"/>
      <c r="CU92"/>
      <c r="CV92"/>
      <c r="CW92"/>
      <c r="CX92"/>
      <c r="CY92"/>
      <c r="CZ92"/>
      <c r="DA92"/>
      <c r="DB92"/>
      <c r="DC92"/>
      <c r="DD92"/>
      <c r="DE92"/>
      <c r="DF92"/>
      <c r="DG92"/>
      <c r="DH92"/>
      <c r="DI92"/>
      <c r="DJ92"/>
      <c r="DK92"/>
      <c r="DL92"/>
      <c r="DM92"/>
      <c r="DN92"/>
      <c r="DO92"/>
      <c r="DP92"/>
      <c r="DQ92"/>
      <c r="DR92"/>
      <c r="DS92"/>
      <c r="DT92"/>
      <c r="DU92"/>
      <c r="DV92"/>
      <c r="DW92"/>
      <c r="DX92"/>
      <c r="DY92"/>
      <c r="DZ92"/>
      <c r="EA92"/>
      <c r="EB92"/>
      <c r="EC92"/>
      <c r="ED92"/>
      <c r="EE92"/>
      <c r="EF92"/>
      <c r="EG92"/>
      <c r="EH92"/>
      <c r="EI92"/>
      <c r="EJ92"/>
      <c r="EK92"/>
      <c r="EL92"/>
      <c r="EM92"/>
      <c r="EN92"/>
      <c r="EO92"/>
      <c r="EP92"/>
      <c r="EQ92"/>
      <c r="ER92"/>
      <c r="ES92"/>
      <c r="ET92"/>
      <c r="EU92"/>
      <c r="EV92"/>
      <c r="EW92"/>
      <c r="EX92"/>
      <c r="EY92"/>
      <c r="EZ92"/>
      <c r="FA92"/>
      <c r="FB92"/>
      <c r="FC92"/>
      <c r="FD92"/>
      <c r="FE92"/>
      <c r="FF92"/>
      <c r="FG92"/>
      <c r="FH92"/>
      <c r="FI92"/>
      <c r="FJ92"/>
      <c r="FK92"/>
      <c r="FL92"/>
      <c r="FM92"/>
      <c r="FN92"/>
      <c r="FO92"/>
      <c r="FP92"/>
      <c r="FQ92"/>
      <c r="FR92"/>
      <c r="FS92"/>
      <c r="FT92"/>
      <c r="FU92"/>
      <c r="FV92"/>
      <c r="FW92"/>
      <c r="FX92"/>
      <c r="FY92"/>
      <c r="FZ92"/>
      <c r="GA92"/>
      <c r="GB92"/>
      <c r="GC92"/>
      <c r="GD92"/>
      <c r="GE92"/>
      <c r="GF92"/>
      <c r="GG92"/>
      <c r="GH92"/>
      <c r="GI92"/>
      <c r="GJ92"/>
      <c r="GK92"/>
      <c r="GL92"/>
      <c r="GM92"/>
      <c r="GN92"/>
      <c r="GO92"/>
      <c r="GP92"/>
      <c r="GQ92"/>
      <c r="GR92"/>
      <c r="GS92"/>
      <c r="GT92"/>
      <c r="GU92"/>
      <c r="GV92"/>
      <c r="GW92"/>
      <c r="GX92"/>
      <c r="GY92"/>
      <c r="GZ92"/>
      <c r="HA92"/>
      <c r="HB92"/>
      <c r="HC92"/>
      <c r="HD92"/>
      <c r="HE92"/>
      <c r="HF92"/>
      <c r="HG92"/>
      <c r="HH92"/>
      <c r="HI92"/>
      <c r="HJ92"/>
      <c r="HK92"/>
      <c r="HL92"/>
      <c r="HM92"/>
      <c r="HN92"/>
      <c r="HO92"/>
      <c r="HP92"/>
      <c r="HQ92"/>
      <c r="HR92"/>
      <c r="HS92"/>
      <c r="HT92"/>
      <c r="HU92"/>
      <c r="HV92"/>
      <c r="HW92"/>
      <c r="HX92"/>
      <c r="HY92"/>
      <c r="HZ92"/>
      <c r="IA92"/>
      <c r="IB92"/>
      <c r="IC92"/>
      <c r="ID92"/>
      <c r="IE92"/>
      <c r="IF92"/>
      <c r="IG92"/>
      <c r="IH92"/>
      <c r="II92"/>
      <c r="IJ92"/>
      <c r="IK92"/>
      <c r="IL92"/>
      <c r="IM92"/>
      <c r="IN92"/>
      <c r="IO92"/>
      <c r="IP92"/>
    </row>
    <row r="93" s="678" customFormat="1" spans="1:250">
      <c r="A93"/>
      <c r="B93"/>
      <c r="C93"/>
      <c r="D93"/>
      <c r="E93"/>
      <c r="F93"/>
      <c r="G93"/>
      <c r="H93"/>
      <c r="I93"/>
      <c r="J93"/>
      <c r="K93"/>
      <c r="L93"/>
      <c r="M93"/>
      <c r="N93"/>
      <c r="O93"/>
      <c r="P93"/>
      <c r="Q93"/>
      <c r="R93"/>
      <c r="S93"/>
      <c r="T93"/>
      <c r="U93"/>
      <c r="V93"/>
      <c r="W93"/>
      <c r="X93"/>
      <c r="Y93"/>
      <c r="Z93"/>
      <c r="AA93"/>
      <c r="AB93"/>
      <c r="AC93"/>
      <c r="AD93"/>
      <c r="AE93"/>
      <c r="AF93"/>
      <c r="AG93"/>
      <c r="AH93"/>
      <c r="AI93"/>
      <c r="AJ93"/>
      <c r="AK93"/>
      <c r="AL93"/>
      <c r="AM93"/>
      <c r="AN93"/>
      <c r="AO93"/>
      <c r="AP93"/>
      <c r="AQ93"/>
      <c r="AR93"/>
      <c r="AS93"/>
      <c r="AT93"/>
      <c r="AU93"/>
      <c r="AV93"/>
      <c r="AW93"/>
      <c r="AX93"/>
      <c r="AY93"/>
      <c r="AZ93"/>
      <c r="BA93"/>
      <c r="BB93"/>
      <c r="BC93"/>
      <c r="BD93"/>
      <c r="BE93"/>
      <c r="BF93"/>
      <c r="BG93"/>
      <c r="BH93"/>
      <c r="BI93"/>
      <c r="BJ93"/>
      <c r="BK93"/>
      <c r="BL93"/>
      <c r="BM93"/>
      <c r="BN93"/>
      <c r="BO93"/>
      <c r="BP93"/>
      <c r="BQ93"/>
      <c r="BR93"/>
      <c r="BS93"/>
      <c r="BT93"/>
      <c r="BU93"/>
      <c r="BV93"/>
      <c r="BW93"/>
      <c r="BX93"/>
      <c r="BY93"/>
      <c r="BZ93"/>
      <c r="CA93"/>
      <c r="CB93"/>
      <c r="CC93"/>
      <c r="CD93"/>
      <c r="CE93"/>
      <c r="CF93"/>
      <c r="CG93"/>
      <c r="CH93"/>
      <c r="CI93"/>
      <c r="CJ93"/>
      <c r="CK93"/>
      <c r="CL93"/>
      <c r="CM93"/>
      <c r="CN93"/>
      <c r="CO93"/>
      <c r="CP93"/>
      <c r="CQ93"/>
      <c r="CR93"/>
      <c r="CS93"/>
      <c r="CT93"/>
      <c r="CU93"/>
      <c r="CV93"/>
      <c r="CW93"/>
      <c r="CX93"/>
      <c r="CY93"/>
      <c r="CZ93"/>
      <c r="DA93"/>
      <c r="DB93"/>
      <c r="DC93"/>
      <c r="DD93"/>
      <c r="DE93"/>
      <c r="DF93"/>
      <c r="DG93"/>
      <c r="DH93"/>
      <c r="DI93"/>
      <c r="DJ93"/>
      <c r="DK93"/>
      <c r="DL93"/>
      <c r="DM93"/>
      <c r="DN93"/>
      <c r="DO93"/>
      <c r="DP93"/>
      <c r="DQ93"/>
      <c r="DR93"/>
      <c r="DS93"/>
      <c r="DT93"/>
      <c r="DU93"/>
      <c r="DV93"/>
      <c r="DW93"/>
      <c r="DX93"/>
      <c r="DY93"/>
      <c r="DZ93"/>
      <c r="EA93"/>
      <c r="EB93"/>
      <c r="EC93"/>
      <c r="ED93"/>
      <c r="EE93"/>
      <c r="EF93"/>
      <c r="EG93"/>
      <c r="EH93"/>
      <c r="EI93"/>
      <c r="EJ93"/>
      <c r="EK93"/>
      <c r="EL93"/>
      <c r="EM93"/>
      <c r="EN93"/>
      <c r="EO93"/>
      <c r="EP93"/>
      <c r="EQ93"/>
      <c r="ER93"/>
      <c r="ES93"/>
      <c r="ET93"/>
      <c r="EU93"/>
      <c r="EV93"/>
      <c r="EW93"/>
      <c r="EX93"/>
      <c r="EY93"/>
      <c r="EZ93"/>
      <c r="FA93"/>
      <c r="FB93"/>
      <c r="FC93"/>
      <c r="FD93"/>
      <c r="FE93"/>
      <c r="FF93"/>
      <c r="FG93"/>
      <c r="FH93"/>
      <c r="FI93"/>
      <c r="FJ93"/>
      <c r="FK93"/>
      <c r="FL93"/>
      <c r="FM93"/>
      <c r="FN93"/>
      <c r="FO93"/>
      <c r="FP93"/>
      <c r="FQ93"/>
      <c r="FR93"/>
      <c r="FS93"/>
      <c r="FT93"/>
      <c r="FU93"/>
      <c r="FV93"/>
      <c r="FW93"/>
      <c r="FX93"/>
      <c r="FY93"/>
      <c r="FZ93"/>
      <c r="GA93"/>
      <c r="GB93"/>
      <c r="GC93"/>
      <c r="GD93"/>
      <c r="GE93"/>
      <c r="GF93"/>
      <c r="GG93"/>
      <c r="GH93"/>
      <c r="GI93"/>
      <c r="GJ93"/>
      <c r="GK93"/>
      <c r="GL93"/>
      <c r="GM93"/>
      <c r="GN93"/>
      <c r="GO93"/>
      <c r="GP93"/>
      <c r="GQ93"/>
      <c r="GR93"/>
      <c r="GS93"/>
      <c r="GT93"/>
      <c r="GU93"/>
      <c r="GV93"/>
      <c r="GW93"/>
      <c r="GX93"/>
      <c r="GY93"/>
      <c r="GZ93"/>
      <c r="HA93"/>
      <c r="HB93"/>
      <c r="HC93"/>
      <c r="HD93"/>
      <c r="HE93"/>
      <c r="HF93"/>
      <c r="HG93"/>
      <c r="HH93"/>
      <c r="HI93"/>
      <c r="HJ93"/>
      <c r="HK93"/>
      <c r="HL93"/>
      <c r="HM93"/>
      <c r="HN93"/>
      <c r="HO93"/>
      <c r="HP93"/>
      <c r="HQ93"/>
      <c r="HR93"/>
      <c r="HS93"/>
      <c r="HT93"/>
      <c r="HU93"/>
      <c r="HV93"/>
      <c r="HW93"/>
      <c r="HX93"/>
      <c r="HY93"/>
      <c r="HZ93"/>
      <c r="IA93"/>
      <c r="IB93"/>
      <c r="IC93"/>
      <c r="ID93"/>
      <c r="IE93"/>
      <c r="IF93"/>
      <c r="IG93"/>
      <c r="IH93"/>
      <c r="II93"/>
      <c r="IJ93"/>
      <c r="IK93"/>
      <c r="IL93"/>
      <c r="IM93"/>
      <c r="IN93"/>
      <c r="IO93"/>
      <c r="IP93"/>
    </row>
    <row r="94" s="679" customFormat="1" hidden="1" spans="1:250">
      <c r="A94"/>
      <c r="B94"/>
      <c r="C94"/>
      <c r="D94"/>
      <c r="E94"/>
      <c r="F94"/>
      <c r="G94"/>
      <c r="H94"/>
      <c r="I94"/>
      <c r="J94"/>
      <c r="K94"/>
      <c r="L94"/>
      <c r="M94"/>
      <c r="N94"/>
      <c r="O94"/>
      <c r="P94"/>
      <c r="Q94"/>
      <c r="R94"/>
      <c r="S94"/>
      <c r="T94"/>
      <c r="U94"/>
      <c r="V94"/>
      <c r="W94"/>
      <c r="X94"/>
      <c r="Y94"/>
      <c r="Z94"/>
      <c r="AA94"/>
      <c r="AB94"/>
      <c r="AC94"/>
      <c r="AD94"/>
      <c r="AE94"/>
      <c r="AF94"/>
      <c r="AG94"/>
      <c r="AH94"/>
      <c r="AI94"/>
      <c r="AJ94"/>
      <c r="AK94"/>
      <c r="AL94"/>
      <c r="AM94"/>
      <c r="AN94"/>
      <c r="AO94"/>
      <c r="AP94"/>
      <c r="AQ94"/>
      <c r="AR94"/>
      <c r="AS94"/>
      <c r="AT94"/>
      <c r="AU94"/>
      <c r="AV94"/>
      <c r="AW94"/>
      <c r="AX94"/>
      <c r="AY94"/>
      <c r="AZ94"/>
      <c r="BA94"/>
      <c r="BB94"/>
      <c r="BC94"/>
      <c r="BD94"/>
      <c r="BE94"/>
      <c r="BF94"/>
      <c r="BG94"/>
      <c r="BH94"/>
      <c r="BI94"/>
      <c r="BJ94"/>
      <c r="BK94"/>
      <c r="BL94"/>
      <c r="BM94"/>
      <c r="BN94"/>
      <c r="BO94"/>
      <c r="BP94"/>
      <c r="BQ94"/>
      <c r="BR94"/>
      <c r="BS94"/>
      <c r="BT94"/>
      <c r="BU94"/>
      <c r="BV94"/>
      <c r="BW94"/>
      <c r="BX94"/>
      <c r="BY94"/>
      <c r="BZ94"/>
      <c r="CA94"/>
      <c r="CB94"/>
      <c r="CC94"/>
      <c r="CD94"/>
      <c r="CE94"/>
      <c r="CF94"/>
      <c r="CG94"/>
      <c r="CH94"/>
      <c r="CI94"/>
      <c r="CJ94"/>
      <c r="CK94"/>
      <c r="CL94"/>
      <c r="CM94"/>
      <c r="CN94"/>
      <c r="CO94"/>
      <c r="CP94"/>
      <c r="CQ94"/>
      <c r="CR94"/>
      <c r="CS94"/>
      <c r="CT94"/>
      <c r="CU94"/>
      <c r="CV94"/>
      <c r="CW94"/>
      <c r="CX94"/>
      <c r="CY94"/>
      <c r="CZ94"/>
      <c r="DA94"/>
      <c r="DB94"/>
      <c r="DC94"/>
      <c r="DD94"/>
      <c r="DE94"/>
      <c r="DF94"/>
      <c r="DG94"/>
      <c r="DH94"/>
      <c r="DI94"/>
      <c r="DJ94"/>
      <c r="DK94"/>
      <c r="DL94"/>
      <c r="DM94"/>
      <c r="DN94"/>
      <c r="DO94"/>
      <c r="DP94"/>
      <c r="DQ94"/>
      <c r="DR94"/>
      <c r="DS94"/>
      <c r="DT94"/>
      <c r="DU94"/>
      <c r="DV94"/>
      <c r="DW94"/>
      <c r="DX94"/>
      <c r="DY94"/>
      <c r="DZ94"/>
      <c r="EA94"/>
      <c r="EB94"/>
      <c r="EC94"/>
      <c r="ED94"/>
      <c r="EE94"/>
      <c r="EF94"/>
      <c r="EG94"/>
      <c r="EH94"/>
      <c r="EI94"/>
      <c r="EJ94"/>
      <c r="EK94"/>
      <c r="EL94"/>
      <c r="EM94"/>
      <c r="EN94"/>
      <c r="EO94"/>
      <c r="EP94"/>
      <c r="EQ94"/>
      <c r="ER94"/>
      <c r="ES94"/>
      <c r="ET94"/>
      <c r="EU94"/>
      <c r="EV94"/>
      <c r="EW94"/>
      <c r="EX94"/>
      <c r="EY94"/>
      <c r="EZ94"/>
      <c r="FA94"/>
      <c r="FB94"/>
      <c r="FC94"/>
      <c r="FD94"/>
      <c r="FE94"/>
      <c r="FF94"/>
      <c r="FG94"/>
      <c r="FH94"/>
      <c r="FI94"/>
      <c r="FJ94"/>
      <c r="FK94"/>
      <c r="FL94"/>
      <c r="FM94"/>
      <c r="FN94"/>
      <c r="FO94"/>
      <c r="FP94"/>
      <c r="FQ94"/>
      <c r="FR94"/>
      <c r="FS94"/>
      <c r="FT94"/>
      <c r="FU94"/>
      <c r="FV94"/>
      <c r="FW94"/>
      <c r="FX94"/>
      <c r="FY94"/>
      <c r="FZ94"/>
      <c r="GA94"/>
      <c r="GB94"/>
      <c r="GC94"/>
      <c r="GD94"/>
      <c r="GE94"/>
      <c r="GF94"/>
      <c r="GG94"/>
      <c r="GH94"/>
      <c r="GI94"/>
      <c r="GJ94"/>
      <c r="GK94"/>
      <c r="GL94"/>
      <c r="GM94"/>
      <c r="GN94"/>
      <c r="GO94"/>
      <c r="GP94"/>
      <c r="GQ94"/>
      <c r="GR94"/>
      <c r="GS94"/>
      <c r="GT94"/>
      <c r="GU94"/>
      <c r="GV94"/>
      <c r="GW94"/>
      <c r="GX94"/>
      <c r="GY94"/>
      <c r="GZ94"/>
      <c r="HA94"/>
      <c r="HB94"/>
      <c r="HC94"/>
      <c r="HD94"/>
      <c r="HE94"/>
      <c r="HF94"/>
      <c r="HG94"/>
      <c r="HH94"/>
      <c r="HI94"/>
      <c r="HJ94"/>
      <c r="HK94"/>
      <c r="HL94"/>
      <c r="HM94"/>
      <c r="HN94"/>
      <c r="HO94"/>
      <c r="HP94"/>
      <c r="HQ94"/>
      <c r="HR94"/>
      <c r="HS94"/>
      <c r="HT94"/>
      <c r="HU94"/>
      <c r="HV94"/>
      <c r="HW94"/>
      <c r="HX94"/>
      <c r="HY94"/>
      <c r="HZ94"/>
      <c r="IA94"/>
      <c r="IB94"/>
      <c r="IC94"/>
      <c r="ID94"/>
      <c r="IE94"/>
      <c r="IF94"/>
      <c r="IG94"/>
      <c r="IH94"/>
      <c r="II94"/>
      <c r="IJ94"/>
      <c r="IK94"/>
      <c r="IL94"/>
      <c r="IM94"/>
      <c r="IN94"/>
      <c r="IO94"/>
      <c r="IP94"/>
    </row>
    <row r="95" s="678" customFormat="1" hidden="1" spans="1:250">
      <c r="A95"/>
      <c r="B95"/>
      <c r="C95"/>
      <c r="D95"/>
      <c r="E95"/>
      <c r="F95"/>
      <c r="G95"/>
      <c r="H95"/>
      <c r="I95"/>
      <c r="J95"/>
      <c r="K95"/>
      <c r="L95"/>
      <c r="M95"/>
      <c r="N95"/>
      <c r="O95"/>
      <c r="P95"/>
      <c r="Q95"/>
      <c r="R95"/>
      <c r="S95"/>
      <c r="T95"/>
      <c r="U95"/>
      <c r="V95"/>
      <c r="W95"/>
      <c r="X95"/>
      <c r="Y95"/>
      <c r="Z95"/>
      <c r="AA95"/>
      <c r="AB95"/>
      <c r="AC95"/>
      <c r="AD95"/>
      <c r="AE95"/>
      <c r="AF95"/>
      <c r="AG95"/>
      <c r="AH95"/>
      <c r="AI95"/>
      <c r="AJ95"/>
      <c r="AK95"/>
      <c r="AL95"/>
      <c r="AM95"/>
      <c r="AN95"/>
      <c r="AO95"/>
      <c r="AP95"/>
      <c r="AQ95"/>
      <c r="AR95"/>
      <c r="AS95"/>
      <c r="AT95"/>
      <c r="AU95"/>
      <c r="AV95"/>
      <c r="AW95"/>
      <c r="AX95"/>
      <c r="AY95"/>
      <c r="AZ95"/>
      <c r="BA95"/>
      <c r="BB95"/>
      <c r="BC95"/>
      <c r="BD95"/>
      <c r="BE95"/>
      <c r="BF95"/>
      <c r="BG95"/>
      <c r="BH95"/>
      <c r="BI95"/>
      <c r="BJ95"/>
      <c r="BK95"/>
      <c r="BL95"/>
      <c r="BM95"/>
      <c r="BN95"/>
      <c r="BO95"/>
      <c r="BP95"/>
      <c r="BQ95"/>
      <c r="BR95"/>
      <c r="BS95"/>
      <c r="BT95"/>
      <c r="BU95"/>
      <c r="BV95"/>
      <c r="BW95"/>
      <c r="BX95"/>
      <c r="BY95"/>
      <c r="BZ95"/>
      <c r="CA95"/>
      <c r="CB95"/>
      <c r="CC95"/>
      <c r="CD95"/>
      <c r="CE95"/>
      <c r="CF95"/>
      <c r="CG95"/>
      <c r="CH95"/>
      <c r="CI95"/>
      <c r="CJ95"/>
      <c r="CK95"/>
      <c r="CL95"/>
      <c r="CM95"/>
      <c r="CN95"/>
      <c r="CO95"/>
      <c r="CP95"/>
      <c r="CQ95"/>
      <c r="CR95"/>
      <c r="CS95"/>
      <c r="CT95"/>
      <c r="CU95"/>
      <c r="CV95"/>
      <c r="CW95"/>
      <c r="CX95"/>
      <c r="CY95"/>
      <c r="CZ95"/>
      <c r="DA95"/>
      <c r="DB95"/>
      <c r="DC95"/>
      <c r="DD95"/>
      <c r="DE95"/>
      <c r="DF95"/>
      <c r="DG95"/>
      <c r="DH95"/>
      <c r="DI95"/>
      <c r="DJ95"/>
      <c r="DK95"/>
      <c r="DL95"/>
      <c r="DM95"/>
      <c r="DN95"/>
      <c r="DO95"/>
      <c r="DP95"/>
      <c r="DQ95"/>
      <c r="DR95"/>
      <c r="DS95"/>
      <c r="DT95"/>
      <c r="DU95"/>
      <c r="DV95"/>
      <c r="DW95"/>
      <c r="DX95"/>
      <c r="DY95"/>
      <c r="DZ95"/>
      <c r="EA95"/>
      <c r="EB95"/>
      <c r="EC95"/>
      <c r="ED95"/>
      <c r="EE95"/>
      <c r="EF95"/>
      <c r="EG95"/>
      <c r="EH95"/>
      <c r="EI95"/>
      <c r="EJ95"/>
      <c r="EK95"/>
      <c r="EL95"/>
      <c r="EM95"/>
      <c r="EN95"/>
      <c r="EO95"/>
      <c r="EP95"/>
      <c r="EQ95"/>
      <c r="ER95"/>
      <c r="ES95"/>
      <c r="ET95"/>
      <c r="EU95"/>
      <c r="EV95"/>
      <c r="EW95"/>
      <c r="EX95"/>
      <c r="EY95"/>
      <c r="EZ95"/>
      <c r="FA95"/>
      <c r="FB95"/>
      <c r="FC95"/>
      <c r="FD95"/>
      <c r="FE95"/>
      <c r="FF95"/>
      <c r="FG95"/>
      <c r="FH95"/>
      <c r="FI95"/>
      <c r="FJ95"/>
      <c r="FK95"/>
      <c r="FL95"/>
      <c r="FM95"/>
      <c r="FN95"/>
      <c r="FO95"/>
      <c r="FP95"/>
      <c r="FQ95"/>
      <c r="FR95"/>
      <c r="FS95"/>
      <c r="FT95"/>
      <c r="FU95"/>
      <c r="FV95"/>
      <c r="FW95"/>
      <c r="FX95"/>
      <c r="FY95"/>
      <c r="FZ95"/>
      <c r="GA95"/>
      <c r="GB95"/>
      <c r="GC95"/>
      <c r="GD95"/>
      <c r="GE95"/>
      <c r="GF95"/>
      <c r="GG95"/>
      <c r="GH95"/>
      <c r="GI95"/>
      <c r="GJ95"/>
      <c r="GK95"/>
      <c r="GL95"/>
      <c r="GM95"/>
      <c r="GN95"/>
      <c r="GO95"/>
      <c r="GP95"/>
      <c r="GQ95"/>
      <c r="GR95"/>
      <c r="GS95"/>
      <c r="GT95"/>
      <c r="GU95"/>
      <c r="GV95"/>
      <c r="GW95"/>
      <c r="GX95"/>
      <c r="GY95"/>
      <c r="GZ95"/>
      <c r="HA95"/>
      <c r="HB95"/>
      <c r="HC95"/>
      <c r="HD95"/>
      <c r="HE95"/>
      <c r="HF95"/>
      <c r="HG95"/>
      <c r="HH95"/>
      <c r="HI95"/>
      <c r="HJ95"/>
      <c r="HK95"/>
      <c r="HL95"/>
      <c r="HM95"/>
      <c r="HN95"/>
      <c r="HO95"/>
      <c r="HP95"/>
      <c r="HQ95"/>
      <c r="HR95"/>
      <c r="HS95"/>
      <c r="HT95"/>
      <c r="HU95"/>
      <c r="HV95"/>
      <c r="HW95"/>
      <c r="HX95"/>
      <c r="HY95"/>
      <c r="HZ95"/>
      <c r="IA95"/>
      <c r="IB95"/>
      <c r="IC95"/>
      <c r="ID95"/>
      <c r="IE95"/>
      <c r="IF95"/>
      <c r="IG95"/>
      <c r="IH95"/>
      <c r="II95"/>
      <c r="IJ95"/>
      <c r="IK95"/>
      <c r="IL95"/>
      <c r="IM95"/>
      <c r="IN95"/>
      <c r="IO95"/>
      <c r="IP95"/>
    </row>
    <row r="96" s="678" customFormat="1" hidden="1" spans="1:250">
      <c r="A96"/>
      <c r="B96"/>
      <c r="C96"/>
      <c r="D96"/>
      <c r="E96"/>
      <c r="F96"/>
      <c r="G96"/>
      <c r="H96"/>
      <c r="I96"/>
      <c r="J96"/>
      <c r="K96"/>
      <c r="L96"/>
      <c r="M96"/>
      <c r="N96"/>
      <c r="O96"/>
      <c r="P96"/>
      <c r="Q96"/>
      <c r="R96"/>
      <c r="S96"/>
      <c r="T96"/>
      <c r="U96"/>
      <c r="V96"/>
      <c r="W96"/>
      <c r="X96"/>
      <c r="Y96"/>
      <c r="Z96"/>
      <c r="AA96"/>
      <c r="AB96"/>
      <c r="AC96"/>
      <c r="AD96"/>
      <c r="AE96"/>
      <c r="AF96"/>
      <c r="AG96"/>
      <c r="AH96"/>
      <c r="AI96"/>
      <c r="AJ96"/>
      <c r="AK96"/>
      <c r="AL96"/>
      <c r="AM96"/>
      <c r="AN96"/>
      <c r="AO96"/>
      <c r="AP96"/>
      <c r="AQ96"/>
      <c r="AR96"/>
      <c r="AS96"/>
      <c r="AT96"/>
      <c r="AU96"/>
      <c r="AV96"/>
      <c r="AW96"/>
      <c r="AX96"/>
      <c r="AY96"/>
      <c r="AZ96"/>
      <c r="BA96"/>
      <c r="BB96"/>
      <c r="BC96"/>
      <c r="BD96"/>
      <c r="BE96"/>
      <c r="BF96"/>
      <c r="BG96"/>
      <c r="BH96"/>
      <c r="BI96"/>
      <c r="BJ96"/>
      <c r="BK96"/>
      <c r="BL96"/>
      <c r="BM96"/>
      <c r="BN96"/>
      <c r="BO96"/>
      <c r="BP96"/>
      <c r="BQ96"/>
      <c r="BR96"/>
      <c r="BS96"/>
      <c r="BT96"/>
      <c r="BU96"/>
      <c r="BV96"/>
      <c r="BW96"/>
      <c r="BX96"/>
      <c r="BY96"/>
      <c r="BZ96"/>
      <c r="CA96"/>
      <c r="CB96"/>
      <c r="CC96"/>
      <c r="CD96"/>
      <c r="CE96"/>
      <c r="CF96"/>
      <c r="CG96"/>
      <c r="CH96"/>
      <c r="CI96"/>
      <c r="CJ96"/>
      <c r="CK96"/>
      <c r="CL96"/>
      <c r="CM96"/>
      <c r="CN96"/>
      <c r="CO96"/>
      <c r="CP96"/>
      <c r="CQ96"/>
      <c r="CR96"/>
      <c r="CS96"/>
      <c r="CT96"/>
      <c r="CU96"/>
      <c r="CV96"/>
      <c r="CW96"/>
      <c r="CX96"/>
      <c r="CY96"/>
      <c r="CZ96"/>
      <c r="DA96"/>
      <c r="DB96"/>
      <c r="DC96"/>
      <c r="DD96"/>
      <c r="DE96"/>
      <c r="DF96"/>
      <c r="DG96"/>
      <c r="DH96"/>
      <c r="DI96"/>
      <c r="DJ96"/>
      <c r="DK96"/>
      <c r="DL96"/>
      <c r="DM96"/>
      <c r="DN96"/>
      <c r="DO96"/>
      <c r="DP96"/>
      <c r="DQ96"/>
      <c r="DR96"/>
      <c r="DS96"/>
      <c r="DT96"/>
      <c r="DU96"/>
      <c r="DV96"/>
      <c r="DW96"/>
      <c r="DX96"/>
      <c r="DY96"/>
      <c r="DZ96"/>
      <c r="EA96"/>
      <c r="EB96"/>
      <c r="EC96"/>
      <c r="ED96"/>
      <c r="EE96"/>
      <c r="EF96"/>
      <c r="EG96"/>
      <c r="EH96"/>
      <c r="EI96"/>
      <c r="EJ96"/>
      <c r="EK96"/>
      <c r="EL96"/>
      <c r="EM96"/>
      <c r="EN96"/>
      <c r="EO96"/>
      <c r="EP96"/>
      <c r="EQ96"/>
      <c r="ER96"/>
      <c r="ES96"/>
      <c r="ET96"/>
      <c r="EU96"/>
      <c r="EV96"/>
      <c r="EW96"/>
      <c r="EX96"/>
      <c r="EY96"/>
      <c r="EZ96"/>
      <c r="FA96"/>
      <c r="FB96"/>
      <c r="FC96"/>
      <c r="FD96"/>
      <c r="FE96"/>
      <c r="FF96"/>
      <c r="FG96"/>
      <c r="FH96"/>
      <c r="FI96"/>
      <c r="FJ96"/>
      <c r="FK96"/>
      <c r="FL96"/>
      <c r="FM96"/>
      <c r="FN96"/>
      <c r="FO96"/>
      <c r="FP96"/>
      <c r="FQ96"/>
      <c r="FR96"/>
      <c r="FS96"/>
      <c r="FT96"/>
      <c r="FU96"/>
      <c r="FV96"/>
      <c r="FW96"/>
      <c r="FX96"/>
      <c r="FY96"/>
      <c r="FZ96"/>
      <c r="GA96"/>
      <c r="GB96"/>
      <c r="GC96"/>
      <c r="GD96"/>
      <c r="GE96"/>
      <c r="GF96"/>
      <c r="GG96"/>
      <c r="GH96"/>
      <c r="GI96"/>
      <c r="GJ96"/>
      <c r="GK96"/>
      <c r="GL96"/>
      <c r="GM96"/>
      <c r="GN96"/>
      <c r="GO96"/>
      <c r="GP96"/>
      <c r="GQ96"/>
      <c r="GR96"/>
      <c r="GS96"/>
      <c r="GT96"/>
      <c r="GU96"/>
      <c r="GV96"/>
      <c r="GW96"/>
      <c r="GX96"/>
      <c r="GY96"/>
      <c r="GZ96"/>
      <c r="HA96"/>
      <c r="HB96"/>
      <c r="HC96"/>
      <c r="HD96"/>
      <c r="HE96"/>
      <c r="HF96"/>
      <c r="HG96"/>
      <c r="HH96"/>
      <c r="HI96"/>
      <c r="HJ96"/>
      <c r="HK96"/>
      <c r="HL96"/>
      <c r="HM96"/>
      <c r="HN96"/>
      <c r="HO96"/>
      <c r="HP96"/>
      <c r="HQ96"/>
      <c r="HR96"/>
      <c r="HS96"/>
      <c r="HT96"/>
      <c r="HU96"/>
      <c r="HV96"/>
      <c r="HW96"/>
      <c r="HX96"/>
      <c r="HY96"/>
      <c r="HZ96"/>
      <c r="IA96"/>
      <c r="IB96"/>
      <c r="IC96"/>
      <c r="ID96"/>
      <c r="IE96"/>
      <c r="IF96"/>
      <c r="IG96"/>
      <c r="IH96"/>
      <c r="II96"/>
      <c r="IJ96"/>
      <c r="IK96"/>
      <c r="IL96"/>
      <c r="IM96"/>
      <c r="IN96"/>
      <c r="IO96"/>
      <c r="IP96"/>
    </row>
  </sheetData>
  <sheetProtection password="83CC" sheet="1" formatColumns="0" formatRows="0" insertRows="0" objects="1" scenarios="1"/>
  <mergeCells count="84">
    <mergeCell ref="B1:H1"/>
    <mergeCell ref="B2:H2"/>
    <mergeCell ref="B3:F3"/>
    <mergeCell ref="B4:F4"/>
    <mergeCell ref="B5:F5"/>
    <mergeCell ref="B6:F6"/>
    <mergeCell ref="B7:F7"/>
    <mergeCell ref="B8:F8"/>
    <mergeCell ref="B9:F9"/>
    <mergeCell ref="B10:F10"/>
    <mergeCell ref="B11:F11"/>
    <mergeCell ref="B12:F12"/>
    <mergeCell ref="B13:F13"/>
    <mergeCell ref="B16:H16"/>
    <mergeCell ref="B17:F17"/>
    <mergeCell ref="B18:F18"/>
    <mergeCell ref="B19:F19"/>
    <mergeCell ref="B20:F20"/>
    <mergeCell ref="B21:F21"/>
    <mergeCell ref="B22:F22"/>
    <mergeCell ref="B23:F23"/>
    <mergeCell ref="B25:H25"/>
    <mergeCell ref="B26:F26"/>
    <mergeCell ref="B27:F27"/>
    <mergeCell ref="B28:F28"/>
    <mergeCell ref="B29:F29"/>
    <mergeCell ref="B30:F30"/>
    <mergeCell ref="B31:F31"/>
    <mergeCell ref="B32:F32"/>
    <mergeCell ref="B33:F33"/>
    <mergeCell ref="B34:F34"/>
    <mergeCell ref="B35:F35"/>
    <mergeCell ref="B36:F36"/>
    <mergeCell ref="B37:F37"/>
    <mergeCell ref="B38:F38"/>
    <mergeCell ref="B39:F39"/>
    <mergeCell ref="B41:H41"/>
    <mergeCell ref="B42:H42"/>
    <mergeCell ref="B43:F43"/>
    <mergeCell ref="B45:H45"/>
    <mergeCell ref="F46:G46"/>
    <mergeCell ref="B47:C47"/>
    <mergeCell ref="B49:H49"/>
    <mergeCell ref="B50:C50"/>
    <mergeCell ref="B51:C51"/>
    <mergeCell ref="B52:C52"/>
    <mergeCell ref="B53:C53"/>
    <mergeCell ref="B54:C54"/>
    <mergeCell ref="B55:C55"/>
    <mergeCell ref="B56:C56"/>
    <mergeCell ref="B57:C57"/>
    <mergeCell ref="B58:C58"/>
    <mergeCell ref="B59:C59"/>
    <mergeCell ref="B60:C60"/>
    <mergeCell ref="B61:C61"/>
    <mergeCell ref="B62:C62"/>
    <mergeCell ref="B63:C63"/>
    <mergeCell ref="B65:H65"/>
    <mergeCell ref="B66:E66"/>
    <mergeCell ref="B67:E67"/>
    <mergeCell ref="B68:E68"/>
    <mergeCell ref="B69:E69"/>
    <mergeCell ref="B70:E70"/>
    <mergeCell ref="B71:E71"/>
    <mergeCell ref="B72:E72"/>
    <mergeCell ref="B73:E73"/>
    <mergeCell ref="B74:E74"/>
    <mergeCell ref="B75:E75"/>
    <mergeCell ref="B76:E76"/>
    <mergeCell ref="B77:E77"/>
    <mergeCell ref="B78:E78"/>
    <mergeCell ref="B79:E79"/>
    <mergeCell ref="B82:H82"/>
    <mergeCell ref="B83:F83"/>
    <mergeCell ref="B84:F84"/>
    <mergeCell ref="B85:F85"/>
    <mergeCell ref="B88:H88"/>
    <mergeCell ref="B89:F89"/>
    <mergeCell ref="B90:F90"/>
    <mergeCell ref="B91:F91"/>
    <mergeCell ref="G3:G4"/>
    <mergeCell ref="G83:G84"/>
    <mergeCell ref="G89:G90"/>
    <mergeCell ref="I6:I7"/>
  </mergeCells>
  <conditionalFormatting sqref="G43">
    <cfRule type="expression" dxfId="4" priority="132" stopIfTrue="1">
      <formula>$I$43=FALSE</formula>
    </cfRule>
  </conditionalFormatting>
  <conditionalFormatting sqref="G17:G23;G3:G13">
    <cfRule type="expression" dxfId="4" priority="4" stopIfTrue="1">
      <formula>$I$14=FALSE</formula>
    </cfRule>
  </conditionalFormatting>
  <conditionalFormatting sqref="G27:G39;D47:F47">
    <cfRule type="expression" dxfId="4" priority="3" stopIfTrue="1">
      <formula>$I$27=FALSE</formula>
    </cfRule>
  </conditionalFormatting>
  <conditionalFormatting sqref="D51:D63;F51:F63">
    <cfRule type="expression" dxfId="4" priority="2" stopIfTrue="1">
      <formula>$I$51=FALSE</formula>
    </cfRule>
  </conditionalFormatting>
  <conditionalFormatting sqref="F67:G79">
    <cfRule type="expression" dxfId="4" priority="1" stopIfTrue="1">
      <formula>$I$67=FALSE</formula>
    </cfRule>
  </conditionalFormatting>
  <dataValidations count="6">
    <dataValidation type="list" allowBlank="1" showInputMessage="1" showErrorMessage="1" sqref="G3">
      <formula1>ElencoZoneTerritoriali</formula1>
    </dataValidation>
    <dataValidation type="list" allowBlank="1" showInputMessage="1" showErrorMessage="1" errorTitle="Zone omogenee" error="Scegliere un valore dalla lista" sqref="G5">
      <formula1>"No,Si (gratuita),Si (nuova edificazione),Si (ristrutturazione),Si (recupero sottotetto),Si (intero contributo)"</formula1>
    </dataValidation>
    <dataValidation type="list" allowBlank="1" showInputMessage="1" showErrorMessage="1" errorTitle="Zone omogenee" error="Scegliere un valore dalla lista" sqref="G11">
      <formula1>Parametri!$B$131:$B$133</formula1>
    </dataValidation>
    <dataValidation type="list" allowBlank="1" showInputMessage="1" showErrorMessage="1" errorTitle="Zone omogenee" error="Scegliere un valore dalla lista" sqref="G12 D47 G7:G10 G17:G18">
      <formula1>"Sì,No"</formula1>
    </dataValidation>
    <dataValidation type="list" allowBlank="1" showInputMessage="1" showErrorMessage="1" sqref="G83">
      <formula1>ElencoZoneMonetizzazione</formula1>
    </dataValidation>
    <dataValidation type="list" allowBlank="1" showInputMessage="1" showErrorMessage="1" sqref="G89">
      <formula1>ElencoZoneMonetizzazione_Parcheggi</formula1>
    </dataValidation>
  </dataValidations>
  <hyperlinks>
    <hyperlink ref="I6:I7" location="'Procedura guidata'!A1" display="Torna alla procedura guidata!"/>
  </hyperlinks>
  <printOptions horizontalCentered="1"/>
  <pageMargins left="0.236220472440945" right="0.236220472440945" top="0.354330708661417" bottom="0.354330708661417" header="0.31496062992126" footer="0.31496062992126"/>
  <pageSetup paperSize="9" scale="68" orientation="portrait"/>
  <headerFooter alignWithMargins="0"/>
  <ignoredErrors>
    <ignoredError sqref="E58" formula="1"/>
  </ignoredErrors>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66"/>
  </sheetPr>
  <dimension ref="A1:O407"/>
  <sheetViews>
    <sheetView showGridLines="0" workbookViewId="0">
      <selection activeCell="A1" sqref="A1"/>
    </sheetView>
  </sheetViews>
  <sheetFormatPr defaultColWidth="0" defaultRowHeight="12.75" zeroHeight="1"/>
  <cols>
    <col min="1" max="2" width="3.28571428571429" customWidth="1"/>
    <col min="3" max="3" width="14.7142857142857" customWidth="1"/>
    <col min="4" max="9" width="11.7142857142857" customWidth="1"/>
    <col min="10" max="10" width="1.71428571428571" customWidth="1"/>
    <col min="11" max="14" width="5.28571428571429" customWidth="1"/>
    <col min="15" max="15" width="8.71428571428571" customWidth="1"/>
    <col min="16" max="16" width="0.857142857142857" customWidth="1"/>
    <col min="17" max="16384" width="9.14285714285714" hidden="1"/>
  </cols>
  <sheetData>
    <row r="1"/>
    <row r="2" ht="15.75" customHeight="1" spans="2:10">
      <c r="B2" s="622" t="s">
        <v>138</v>
      </c>
      <c r="C2" s="622"/>
      <c r="D2" s="622"/>
      <c r="E2" s="622"/>
      <c r="F2" s="622"/>
      <c r="G2" s="622"/>
      <c r="H2" s="622"/>
      <c r="I2" s="622"/>
      <c r="J2" s="622"/>
    </row>
    <row r="3" ht="15.75" customHeight="1" spans="2:10">
      <c r="B3" s="622"/>
      <c r="C3" s="622"/>
      <c r="D3" s="622"/>
      <c r="E3" s="622"/>
      <c r="F3" s="622"/>
      <c r="G3" s="622"/>
      <c r="H3" s="622"/>
      <c r="I3" s="622"/>
      <c r="J3" s="622"/>
    </row>
    <row r="4" ht="15.75" customHeight="1" spans="2:10">
      <c r="B4" s="622"/>
      <c r="C4" s="622"/>
      <c r="D4" s="622"/>
      <c r="E4" s="622"/>
      <c r="F4" s="622"/>
      <c r="G4" s="622"/>
      <c r="H4" s="622"/>
      <c r="I4" s="622"/>
      <c r="J4" s="622"/>
    </row>
    <row r="5" ht="15.75" customHeight="1" spans="2:10">
      <c r="B5" s="622"/>
      <c r="C5" s="623" t="s">
        <v>139</v>
      </c>
      <c r="D5" s="624"/>
      <c r="E5" s="624"/>
      <c r="F5" s="624"/>
      <c r="G5" s="625"/>
      <c r="H5" s="626"/>
      <c r="I5" s="626"/>
      <c r="J5" s="622"/>
    </row>
    <row r="6" customHeight="1" spans="2:10">
      <c r="B6" s="622"/>
      <c r="C6" s="627" t="s">
        <v>140</v>
      </c>
      <c r="D6" s="628"/>
      <c r="E6" s="628"/>
      <c r="F6" s="628"/>
      <c r="G6" s="629">
        <v>2</v>
      </c>
      <c r="J6" s="622"/>
    </row>
    <row r="7" customHeight="1" spans="2:10">
      <c r="B7" s="622"/>
      <c r="C7" s="630" t="s">
        <v>141</v>
      </c>
      <c r="D7" s="631"/>
      <c r="E7" s="631"/>
      <c r="F7" s="631"/>
      <c r="G7" s="632">
        <f>dimensione_planimetrica_1_totale</f>
        <v>0</v>
      </c>
      <c r="J7" s="622"/>
    </row>
    <row r="8" customHeight="1" spans="2:10">
      <c r="B8" s="622"/>
      <c r="C8" s="630" t="s">
        <v>142</v>
      </c>
      <c r="D8" s="631"/>
      <c r="E8" s="631"/>
      <c r="F8" s="631"/>
      <c r="G8" s="632">
        <f>dimensione_planimetrica_2_totale</f>
        <v>0</v>
      </c>
      <c r="J8" s="622"/>
    </row>
    <row r="9" customHeight="1" spans="2:14">
      <c r="B9" s="622"/>
      <c r="C9" s="630" t="s">
        <v>143</v>
      </c>
      <c r="D9" s="631"/>
      <c r="E9" s="631"/>
      <c r="F9" s="631"/>
      <c r="G9" s="632">
        <f>dimensione_planimetrica_3_totale</f>
        <v>0</v>
      </c>
      <c r="J9" s="622"/>
      <c r="K9" s="211" t="s">
        <v>30</v>
      </c>
      <c r="L9" s="211"/>
      <c r="M9" s="211"/>
      <c r="N9" s="211"/>
    </row>
    <row r="10" customHeight="1" spans="2:14">
      <c r="B10" s="622"/>
      <c r="C10" s="630" t="s">
        <v>144</v>
      </c>
      <c r="D10" s="631"/>
      <c r="E10" s="631"/>
      <c r="F10" s="631"/>
      <c r="G10" s="632">
        <f>dimensione_planimetrica_4_totale</f>
        <v>0</v>
      </c>
      <c r="J10" s="622"/>
      <c r="K10" s="211"/>
      <c r="L10" s="211"/>
      <c r="M10" s="211"/>
      <c r="N10" s="211"/>
    </row>
    <row r="11" customHeight="1" spans="2:10">
      <c r="B11" s="622"/>
      <c r="C11" s="630" t="s">
        <v>145</v>
      </c>
      <c r="D11" s="631"/>
      <c r="E11" s="631"/>
      <c r="F11" s="631"/>
      <c r="G11" s="632">
        <f>dimensione_planimetrica_5_totale</f>
        <v>0</v>
      </c>
      <c r="J11" s="622"/>
    </row>
    <row r="12" customHeight="1" spans="2:10">
      <c r="B12" s="622"/>
      <c r="C12" s="633" t="s">
        <v>146</v>
      </c>
      <c r="D12" s="634"/>
      <c r="E12" s="634"/>
      <c r="F12" s="634"/>
      <c r="G12" s="632">
        <f>SUM(E30,G45,G60,G75,G90,G105,G120,G135,G150,G165,G180,G195,G210,G225,G240,G255,G270,G285,G300,G315,G345,G360,G375,G390,G405)</f>
        <v>0</v>
      </c>
      <c r="J12" s="622"/>
    </row>
    <row r="13" customHeight="1" spans="2:15">
      <c r="B13" s="622"/>
      <c r="C13" s="633" t="s">
        <v>147</v>
      </c>
      <c r="D13" s="634"/>
      <c r="E13" s="634"/>
      <c r="F13" s="634"/>
      <c r="G13" s="632">
        <f>SUM(F30,H45,H60,H75,H90,H105,H120,H135,H150,H165,H180,H195,H210,H225,H240,H255,H270,H285,H300,H315,H345,H360,H375,H390,H405)</f>
        <v>0</v>
      </c>
      <c r="J13" s="622"/>
      <c r="K13" s="621"/>
      <c r="L13" s="621"/>
      <c r="M13" s="621"/>
      <c r="N13" s="621"/>
      <c r="O13" s="621"/>
    </row>
    <row r="14" customHeight="1" spans="2:15">
      <c r="B14" s="622"/>
      <c r="C14" s="633" t="s">
        <v>148</v>
      </c>
      <c r="D14" s="634"/>
      <c r="E14" s="634"/>
      <c r="F14" s="634"/>
      <c r="G14" s="632">
        <f>SUM(G30,I45,I60,I75,I90,I105,I120,I135,I150,I165,I180,I195,I210,I225,I240,I255,I270,I285,I300,I315,I345,I360,I375,I390,I405)</f>
        <v>0</v>
      </c>
      <c r="J14" s="622"/>
      <c r="K14" s="621"/>
      <c r="L14" s="621"/>
      <c r="M14" s="621"/>
      <c r="N14" s="621"/>
      <c r="O14" s="621"/>
    </row>
    <row r="15" customHeight="1" spans="2:15">
      <c r="B15" s="622"/>
      <c r="C15" s="635"/>
      <c r="D15" s="636"/>
      <c r="E15" s="636"/>
      <c r="F15" s="636"/>
      <c r="G15" s="158"/>
      <c r="H15" s="98"/>
      <c r="I15" s="98"/>
      <c r="J15" s="622"/>
      <c r="K15" s="488"/>
      <c r="L15" s="488"/>
      <c r="M15" s="488"/>
      <c r="N15" s="488"/>
      <c r="O15" s="488"/>
    </row>
    <row r="16" customHeight="1" spans="2:15">
      <c r="B16" s="622"/>
      <c r="C16" s="637"/>
      <c r="D16" s="637"/>
      <c r="E16" s="637"/>
      <c r="F16" s="637"/>
      <c r="G16" s="98"/>
      <c r="H16" s="98"/>
      <c r="I16" s="98"/>
      <c r="J16" s="622"/>
      <c r="K16" s="488"/>
      <c r="L16" s="488"/>
      <c r="M16" s="488"/>
      <c r="N16" s="488"/>
      <c r="O16" s="488"/>
    </row>
    <row r="17" customHeight="1" spans="2:15">
      <c r="B17" s="622"/>
      <c r="C17" s="638" t="s">
        <v>149</v>
      </c>
      <c r="D17" s="638"/>
      <c r="E17" s="637"/>
      <c r="F17" s="637"/>
      <c r="G17" s="98"/>
      <c r="H17" s="98"/>
      <c r="I17" s="98"/>
      <c r="J17" s="622"/>
      <c r="K17" s="488"/>
      <c r="L17" s="488"/>
      <c r="M17" s="488"/>
      <c r="N17" s="488"/>
      <c r="O17" s="488"/>
    </row>
    <row r="18" customHeight="1" spans="2:15">
      <c r="B18" s="622"/>
      <c r="C18" s="234" t="s">
        <v>150</v>
      </c>
      <c r="D18" s="259"/>
      <c r="E18" s="639" t="s">
        <v>151</v>
      </c>
      <c r="F18" s="639" t="s">
        <v>152</v>
      </c>
      <c r="G18" s="640" t="s">
        <v>153</v>
      </c>
      <c r="H18" s="98"/>
      <c r="I18" s="98"/>
      <c r="J18" s="622"/>
      <c r="K18" s="488"/>
      <c r="L18" s="488"/>
      <c r="M18" s="488"/>
      <c r="N18" s="488"/>
      <c r="O18" s="488"/>
    </row>
    <row r="19" customHeight="1" spans="2:15">
      <c r="B19" s="622"/>
      <c r="C19" s="641"/>
      <c r="D19" s="642"/>
      <c r="E19" s="564"/>
      <c r="F19" s="580"/>
      <c r="G19" s="643"/>
      <c r="H19" s="98"/>
      <c r="I19" s="98"/>
      <c r="J19" s="622"/>
      <c r="K19" s="488"/>
      <c r="L19" s="488"/>
      <c r="M19" s="488"/>
      <c r="N19" s="488"/>
      <c r="O19" s="488"/>
    </row>
    <row r="20" customHeight="1" spans="2:15">
      <c r="B20" s="622"/>
      <c r="C20" s="641"/>
      <c r="D20" s="642"/>
      <c r="E20" s="564"/>
      <c r="F20" s="580"/>
      <c r="G20" s="643"/>
      <c r="H20" s="98"/>
      <c r="I20" s="98"/>
      <c r="J20" s="622"/>
      <c r="K20" s="488"/>
      <c r="L20" s="488"/>
      <c r="M20" s="488"/>
      <c r="N20" s="488"/>
      <c r="O20" s="488"/>
    </row>
    <row r="21" customHeight="1" spans="2:15">
      <c r="B21" s="622"/>
      <c r="C21" s="641"/>
      <c r="D21" s="642"/>
      <c r="E21" s="564"/>
      <c r="F21" s="580"/>
      <c r="G21" s="643"/>
      <c r="H21" s="98"/>
      <c r="I21" s="98"/>
      <c r="J21" s="622"/>
      <c r="K21" s="488"/>
      <c r="L21" s="488"/>
      <c r="M21" s="488"/>
      <c r="N21" s="488"/>
      <c r="O21" s="488"/>
    </row>
    <row r="22" customHeight="1" spans="2:15">
      <c r="B22" s="622"/>
      <c r="C22" s="641"/>
      <c r="D22" s="642"/>
      <c r="E22" s="564"/>
      <c r="F22" s="580"/>
      <c r="G22" s="643"/>
      <c r="H22" s="98"/>
      <c r="I22" s="98"/>
      <c r="J22" s="622"/>
      <c r="K22" s="488"/>
      <c r="L22" s="488"/>
      <c r="M22" s="488"/>
      <c r="N22" s="488"/>
      <c r="O22" s="488"/>
    </row>
    <row r="23" customHeight="1" spans="2:15">
      <c r="B23" s="622"/>
      <c r="C23" s="641"/>
      <c r="D23" s="642"/>
      <c r="E23" s="564"/>
      <c r="F23" s="580"/>
      <c r="G23" s="643"/>
      <c r="H23" s="98"/>
      <c r="I23" s="98"/>
      <c r="J23" s="622"/>
      <c r="K23" s="488"/>
      <c r="L23" s="488"/>
      <c r="M23" s="488"/>
      <c r="N23" s="488"/>
      <c r="O23" s="488"/>
    </row>
    <row r="24" customHeight="1" spans="2:15">
      <c r="B24" s="622"/>
      <c r="C24" s="641"/>
      <c r="D24" s="642"/>
      <c r="E24" s="564"/>
      <c r="F24" s="580"/>
      <c r="G24" s="643"/>
      <c r="H24" s="98"/>
      <c r="I24" s="98"/>
      <c r="J24" s="622"/>
      <c r="K24" s="488"/>
      <c r="L24" s="488"/>
      <c r="M24" s="488"/>
      <c r="N24" s="488"/>
      <c r="O24" s="488"/>
    </row>
    <row r="25" customHeight="1" spans="2:15">
      <c r="B25" s="622"/>
      <c r="C25" s="641"/>
      <c r="D25" s="642"/>
      <c r="E25" s="564"/>
      <c r="F25" s="580"/>
      <c r="G25" s="643"/>
      <c r="H25" s="98"/>
      <c r="I25" s="98"/>
      <c r="J25" s="622"/>
      <c r="K25" s="488"/>
      <c r="L25" s="488"/>
      <c r="M25" s="488"/>
      <c r="N25" s="488"/>
      <c r="O25" s="488"/>
    </row>
    <row r="26" customHeight="1" spans="2:15">
      <c r="B26" s="622"/>
      <c r="C26" s="641"/>
      <c r="D26" s="642"/>
      <c r="E26" s="564"/>
      <c r="F26" s="580"/>
      <c r="G26" s="643"/>
      <c r="H26" s="98"/>
      <c r="I26" s="98"/>
      <c r="J26" s="622"/>
      <c r="K26" s="488"/>
      <c r="L26" s="488"/>
      <c r="M26" s="488"/>
      <c r="N26" s="488"/>
      <c r="O26" s="488"/>
    </row>
    <row r="27" customHeight="1" spans="2:15">
      <c r="B27" s="622"/>
      <c r="C27" s="641"/>
      <c r="D27" s="642"/>
      <c r="E27" s="564"/>
      <c r="F27" s="580"/>
      <c r="G27" s="643"/>
      <c r="H27" s="98"/>
      <c r="I27" s="98"/>
      <c r="J27" s="622"/>
      <c r="K27" s="488"/>
      <c r="L27" s="488"/>
      <c r="M27" s="488"/>
      <c r="N27" s="488"/>
      <c r="O27" s="488"/>
    </row>
    <row r="28" customHeight="1" spans="2:15">
      <c r="B28" s="622"/>
      <c r="C28" s="641"/>
      <c r="D28" s="642"/>
      <c r="E28" s="564"/>
      <c r="F28" s="580"/>
      <c r="G28" s="643"/>
      <c r="H28" s="98"/>
      <c r="I28" s="98"/>
      <c r="J28" s="622"/>
      <c r="K28" s="488"/>
      <c r="L28" s="488"/>
      <c r="M28" s="488"/>
      <c r="N28" s="488"/>
      <c r="O28" s="488"/>
    </row>
    <row r="29" customHeight="1" spans="2:15">
      <c r="B29" s="622"/>
      <c r="C29" s="644"/>
      <c r="D29" s="645"/>
      <c r="E29" s="646"/>
      <c r="F29" s="647"/>
      <c r="G29" s="648"/>
      <c r="H29" s="98"/>
      <c r="I29" s="98"/>
      <c r="J29" s="622"/>
      <c r="K29" s="488"/>
      <c r="L29" s="488"/>
      <c r="M29" s="488"/>
      <c r="N29" s="488"/>
      <c r="O29" s="488"/>
    </row>
    <row r="30" customHeight="1" spans="2:15">
      <c r="B30" s="622"/>
      <c r="E30" s="649">
        <f>SUM(E19:E29)</f>
        <v>0</v>
      </c>
      <c r="F30" s="568">
        <f>SUM(F19:F29)</f>
        <v>0</v>
      </c>
      <c r="G30" s="568">
        <f>SUM(G19:G29)</f>
        <v>0</v>
      </c>
      <c r="H30" s="98"/>
      <c r="I30" s="98"/>
      <c r="J30" s="622"/>
      <c r="K30" s="488"/>
      <c r="L30" s="488"/>
      <c r="M30" s="488"/>
      <c r="N30" s="488"/>
      <c r="O30" s="488"/>
    </row>
    <row r="31" spans="11:15">
      <c r="K31" s="488"/>
      <c r="L31" s="488"/>
      <c r="M31" s="488"/>
      <c r="N31" s="488"/>
      <c r="O31" s="488"/>
    </row>
    <row r="32" s="621" customFormat="1" ht="15.75" spans="1:15">
      <c r="A32"/>
      <c r="B32"/>
      <c r="C32" s="650" t="s">
        <v>154</v>
      </c>
      <c r="D32" s="650"/>
      <c r="E32" s="651">
        <v>1</v>
      </c>
      <c r="F32" s="652" t="s">
        <v>155</v>
      </c>
      <c r="G32" s="651"/>
      <c r="H32"/>
      <c r="I32"/>
      <c r="J32"/>
      <c r="K32" s="659" t="s">
        <v>156</v>
      </c>
      <c r="L32" s="659"/>
      <c r="M32" s="659"/>
      <c r="N32" s="659"/>
      <c r="O32" s="659"/>
    </row>
    <row r="33" s="621" customFormat="1" customHeight="1" spans="1:15">
      <c r="A33"/>
      <c r="B33"/>
      <c r="C33" s="234" t="s">
        <v>157</v>
      </c>
      <c r="D33" s="259"/>
      <c r="E33" s="235"/>
      <c r="F33" s="653" t="s">
        <v>156</v>
      </c>
      <c r="G33" s="639" t="s">
        <v>151</v>
      </c>
      <c r="H33" s="639" t="s">
        <v>152</v>
      </c>
      <c r="I33" s="640" t="s">
        <v>153</v>
      </c>
      <c r="J33"/>
      <c r="K33" s="659" t="s">
        <v>158</v>
      </c>
      <c r="L33" s="660" t="s">
        <v>159</v>
      </c>
      <c r="M33" s="659" t="s">
        <v>160</v>
      </c>
      <c r="N33" s="659" t="s">
        <v>161</v>
      </c>
      <c r="O33" s="659" t="s">
        <v>162</v>
      </c>
    </row>
    <row r="34" s="621" customFormat="1" spans="1:15">
      <c r="A34"/>
      <c r="B34"/>
      <c r="C34" s="641"/>
      <c r="D34" s="642"/>
      <c r="E34" s="654"/>
      <c r="F34" s="580"/>
      <c r="G34" s="564"/>
      <c r="H34" s="580"/>
      <c r="I34" s="643"/>
      <c r="J34"/>
      <c r="K34" s="661">
        <f>IF(F45&lt;=95,F45,0)</f>
        <v>0</v>
      </c>
      <c r="L34" s="661">
        <f>IF(F45&gt;95,IF(F45&lt;=110,F45,0),0)</f>
        <v>0</v>
      </c>
      <c r="M34" s="661">
        <f>IF(F45&gt;110,IF(F45&lt;=130,F45,0),0)</f>
        <v>0</v>
      </c>
      <c r="N34" s="661">
        <f>IF(F45&gt;130,IF(F45&lt;=160,F45,0),0)</f>
        <v>0</v>
      </c>
      <c r="O34" s="661">
        <f>IF(F45&gt;160,F45,0)</f>
        <v>0</v>
      </c>
    </row>
    <row r="35" s="621" customFormat="1" spans="1:15">
      <c r="A35"/>
      <c r="B35"/>
      <c r="C35" s="641"/>
      <c r="D35" s="642"/>
      <c r="E35" s="654"/>
      <c r="F35" s="580"/>
      <c r="G35" s="564"/>
      <c r="H35" s="580"/>
      <c r="I35" s="643"/>
      <c r="J35"/>
      <c r="K35" s="661">
        <f>IF(F60&lt;=95,F60,0)</f>
        <v>0</v>
      </c>
      <c r="L35" s="661">
        <f>IF(F60&gt;95,IF(F60&lt;=110,F60,0),0)</f>
        <v>0</v>
      </c>
      <c r="M35" s="661">
        <f>IF(F60&gt;110,IF(F60&lt;=130,F60,0),0)</f>
        <v>0</v>
      </c>
      <c r="N35" s="661">
        <f>IF(F60&gt;130,IF(F60&lt;=160,F60,0),0)</f>
        <v>0</v>
      </c>
      <c r="O35" s="661">
        <f>IF(F60&gt;160,F60,0)</f>
        <v>0</v>
      </c>
    </row>
    <row r="36" s="621" customFormat="1" spans="1:15">
      <c r="A36"/>
      <c r="B36"/>
      <c r="C36" s="641"/>
      <c r="D36" s="642"/>
      <c r="E36" s="654"/>
      <c r="F36" s="580"/>
      <c r="G36" s="564"/>
      <c r="H36" s="580"/>
      <c r="I36" s="643"/>
      <c r="J36"/>
      <c r="K36" s="661">
        <f>IF(F75&lt;=95,F75,0)</f>
        <v>0</v>
      </c>
      <c r="L36" s="661">
        <f>IF(F75&gt;95,IF(F75&lt;=110,F75,0),0)</f>
        <v>0</v>
      </c>
      <c r="M36" s="661">
        <f>IF(F75&gt;110,IF(F75&lt;=130,F75,0),0)</f>
        <v>0</v>
      </c>
      <c r="N36" s="661">
        <f>IF(F75&gt;130,IF(F75&lt;=160,F75,0),0)</f>
        <v>0</v>
      </c>
      <c r="O36" s="661">
        <f>IF(F75&gt;160,F75,0)</f>
        <v>0</v>
      </c>
    </row>
    <row r="37" s="621" customFormat="1" spans="1:15">
      <c r="A37"/>
      <c r="B37"/>
      <c r="C37" s="641"/>
      <c r="D37" s="642"/>
      <c r="E37" s="654"/>
      <c r="F37" s="580"/>
      <c r="G37" s="564"/>
      <c r="H37" s="580"/>
      <c r="I37" s="643"/>
      <c r="J37"/>
      <c r="K37" s="661">
        <f>IF(F90&lt;=95,F90,0)</f>
        <v>0</v>
      </c>
      <c r="L37" s="661">
        <f>IF(F90&gt;95,IF(F90&lt;=110,F90,0),0)</f>
        <v>0</v>
      </c>
      <c r="M37" s="661">
        <f>IF(F90&gt;110,IF(F90&lt;=130,F90,0),0)</f>
        <v>0</v>
      </c>
      <c r="N37" s="661">
        <f>IF(F90&gt;130,IF(F90&lt;=160,F90,0),0)</f>
        <v>0</v>
      </c>
      <c r="O37" s="661">
        <f>IF(F90&gt;160,F90,0)</f>
        <v>0</v>
      </c>
    </row>
    <row r="38" s="621" customFormat="1" spans="1:15">
      <c r="A38"/>
      <c r="B38"/>
      <c r="C38" s="641"/>
      <c r="D38" s="642"/>
      <c r="E38" s="654"/>
      <c r="F38" s="580"/>
      <c r="G38" s="564"/>
      <c r="H38" s="580"/>
      <c r="I38" s="643"/>
      <c r="J38"/>
      <c r="K38" s="661">
        <f>IF(F105&lt;=95,F105,0)</f>
        <v>0</v>
      </c>
      <c r="L38" s="661">
        <f>IF(F105&gt;95,IF(F105&lt;=110,F105,0),0)</f>
        <v>0</v>
      </c>
      <c r="M38" s="661">
        <f>IF(F105&gt;110,IF(F105&lt;=130,F105,0),0)</f>
        <v>0</v>
      </c>
      <c r="N38" s="661">
        <f>IF(F105&gt;130,IF(F105&lt;=160,F105,0),0)</f>
        <v>0</v>
      </c>
      <c r="O38" s="661">
        <f>IF(F105&gt;160,F105,0)</f>
        <v>0</v>
      </c>
    </row>
    <row r="39" s="621" customFormat="1" spans="1:15">
      <c r="A39"/>
      <c r="B39"/>
      <c r="C39" s="641"/>
      <c r="D39" s="642"/>
      <c r="E39" s="654"/>
      <c r="F39" s="580"/>
      <c r="G39" s="564"/>
      <c r="H39" s="580"/>
      <c r="I39" s="643"/>
      <c r="J39"/>
      <c r="K39" s="661">
        <f>IF(F120&lt;=95,F120,0)</f>
        <v>0</v>
      </c>
      <c r="L39" s="661">
        <f>IF(F120&gt;95,IF(F120&lt;=110,F120,0),0)</f>
        <v>0</v>
      </c>
      <c r="M39" s="661">
        <f>IF(F120&gt;110,IF(F120&lt;=130,F120,0),0)</f>
        <v>0</v>
      </c>
      <c r="N39" s="661">
        <f>IF(F120&gt;130,IF(F120&lt;=160,F120,0),0)</f>
        <v>0</v>
      </c>
      <c r="O39" s="661">
        <f>IF(F120&gt;160,F120,0)</f>
        <v>0</v>
      </c>
    </row>
    <row r="40" s="621" customFormat="1" spans="1:15">
      <c r="A40"/>
      <c r="B40"/>
      <c r="C40" s="641"/>
      <c r="D40" s="642"/>
      <c r="E40" s="654"/>
      <c r="F40" s="580"/>
      <c r="G40" s="564"/>
      <c r="H40" s="580"/>
      <c r="I40" s="643"/>
      <c r="J40"/>
      <c r="K40" s="661">
        <f>IF(F135&lt;=95,F135,0)</f>
        <v>0</v>
      </c>
      <c r="L40" s="661">
        <f>IF(F135&gt;95,IF(F135&lt;=110,F135,0),0)</f>
        <v>0</v>
      </c>
      <c r="M40" s="661">
        <f>IF(F135&gt;110,IF(F135&lt;=130,F135,0),0)</f>
        <v>0</v>
      </c>
      <c r="N40" s="661">
        <f>IF(F135&gt;130,IF(F135&lt;=160,F135,0),0)</f>
        <v>0</v>
      </c>
      <c r="O40" s="661">
        <f>IF(F135&gt;160,F135,0)</f>
        <v>0</v>
      </c>
    </row>
    <row r="41" s="621" customFormat="1" spans="1:15">
      <c r="A41"/>
      <c r="B41"/>
      <c r="C41" s="641"/>
      <c r="D41" s="642"/>
      <c r="E41" s="654"/>
      <c r="F41" s="580"/>
      <c r="G41" s="564"/>
      <c r="H41" s="580"/>
      <c r="I41" s="643"/>
      <c r="J41"/>
      <c r="K41" s="661">
        <f>IF(F150&lt;=95,F150,0)</f>
        <v>0</v>
      </c>
      <c r="L41" s="661">
        <f>IF(F150&gt;95,IF(F150&lt;=110,F150,0),0)</f>
        <v>0</v>
      </c>
      <c r="M41" s="661">
        <f>IF(F150&gt;110,IF(F150&lt;=130,F150,0),0)</f>
        <v>0</v>
      </c>
      <c r="N41" s="661">
        <f>IF(F150&gt;130,IF(F150&lt;=160,F150,0),0)</f>
        <v>0</v>
      </c>
      <c r="O41" s="661">
        <f>IF(F150&gt;160,F150,0)</f>
        <v>0</v>
      </c>
    </row>
    <row r="42" s="621" customFormat="1" spans="1:15">
      <c r="A42"/>
      <c r="B42"/>
      <c r="C42" s="641"/>
      <c r="D42" s="642"/>
      <c r="E42" s="654"/>
      <c r="F42" s="580"/>
      <c r="G42" s="564"/>
      <c r="H42" s="580"/>
      <c r="I42" s="643"/>
      <c r="J42"/>
      <c r="K42" s="661">
        <f>IF(F165&lt;=95,F165,0)</f>
        <v>0</v>
      </c>
      <c r="L42" s="661">
        <f>IF(F165&gt;95,IF(F165&lt;=110,F165,0),0)</f>
        <v>0</v>
      </c>
      <c r="M42" s="661">
        <f>IF(F165&gt;110,IF(F165&lt;=130,F165,0),0)</f>
        <v>0</v>
      </c>
      <c r="N42" s="661">
        <f>IF(F165&gt;130,IF(F165&lt;=160,F165,0),0)</f>
        <v>0</v>
      </c>
      <c r="O42" s="661">
        <f>IF(F165&gt;160,F165,0)</f>
        <v>0</v>
      </c>
    </row>
    <row r="43" s="621" customFormat="1" spans="1:15">
      <c r="A43"/>
      <c r="B43"/>
      <c r="C43" s="641"/>
      <c r="D43" s="642"/>
      <c r="E43" s="654"/>
      <c r="F43" s="580"/>
      <c r="G43" s="564"/>
      <c r="H43" s="580"/>
      <c r="I43" s="643"/>
      <c r="J43"/>
      <c r="K43" s="661">
        <f>IF(F180&lt;=95,F180,0)</f>
        <v>0</v>
      </c>
      <c r="L43" s="661">
        <f>IF(F180&gt;95,IF(F180&lt;=110,F180,0),0)</f>
        <v>0</v>
      </c>
      <c r="M43" s="661">
        <f>IF(F180&gt;110,IF(F180&lt;=130,F180,0),0)</f>
        <v>0</v>
      </c>
      <c r="N43" s="661">
        <f>IF(F180&gt;130,IF(F180&lt;=160,F180,0),0)</f>
        <v>0</v>
      </c>
      <c r="O43" s="661">
        <f>IF(F180&gt;160,F180,0)</f>
        <v>0</v>
      </c>
    </row>
    <row r="44" s="621" customFormat="1" ht="13.5" spans="1:15">
      <c r="A44"/>
      <c r="B44"/>
      <c r="C44" s="644"/>
      <c r="D44" s="645"/>
      <c r="E44" s="655"/>
      <c r="F44" s="647"/>
      <c r="G44" s="646"/>
      <c r="H44" s="647"/>
      <c r="I44" s="648"/>
      <c r="J44"/>
      <c r="K44" s="661">
        <f>IF(F195&lt;=95,F195,0)</f>
        <v>0</v>
      </c>
      <c r="L44" s="661">
        <f>IF(F195&gt;95,IF(F195&lt;=110,F195,0),0)</f>
        <v>0</v>
      </c>
      <c r="M44" s="661">
        <f>IF(F195&gt;110,IF(F195&lt;=130,F195,0),0)</f>
        <v>0</v>
      </c>
      <c r="N44" s="661">
        <f>IF(F195&gt;130,IF(F195&lt;=160,F195,0),0)</f>
        <v>0</v>
      </c>
      <c r="O44" s="661">
        <f>IF(F195&gt;160,F195,0)</f>
        <v>0</v>
      </c>
    </row>
    <row r="45" s="621" customFormat="1" ht="15.75" spans="1:15">
      <c r="A45"/>
      <c r="B45"/>
      <c r="C45"/>
      <c r="D45"/>
      <c r="E45" s="652" t="s">
        <v>37</v>
      </c>
      <c r="F45" s="568">
        <f>SUM(F34:F44)</f>
        <v>0</v>
      </c>
      <c r="G45" s="649">
        <f>SUM(G34:G44)</f>
        <v>0</v>
      </c>
      <c r="H45" s="568">
        <f>SUM(H34:H44)</f>
        <v>0</v>
      </c>
      <c r="I45" s="568">
        <f>SUM(I34:I44)</f>
        <v>0</v>
      </c>
      <c r="J45"/>
      <c r="K45" s="661">
        <f>IF(F210&lt;=95,F210,0)</f>
        <v>0</v>
      </c>
      <c r="L45" s="661">
        <f>IF(F210&gt;95,IF(F210&lt;=110,F210,0),0)</f>
        <v>0</v>
      </c>
      <c r="M45" s="661">
        <f>IF(F210&gt;110,IF(F210&lt;=130,F210,0),0)</f>
        <v>0</v>
      </c>
      <c r="N45" s="661">
        <f>IF(F210&gt;130,IF(F210&lt;=160,F210,0),0)</f>
        <v>0</v>
      </c>
      <c r="O45" s="661">
        <f>IF(F210&gt;160,F210,0)</f>
        <v>0</v>
      </c>
    </row>
    <row r="46" s="621" customFormat="1" spans="1:15">
      <c r="A46"/>
      <c r="B46"/>
      <c r="C46"/>
      <c r="D46"/>
      <c r="E46"/>
      <c r="F46"/>
      <c r="G46"/>
      <c r="H46"/>
      <c r="I46"/>
      <c r="J46"/>
      <c r="K46" s="661">
        <f>IF(F225&lt;=95,F225,0)</f>
        <v>0</v>
      </c>
      <c r="L46" s="661">
        <f>IF(F225&gt;95,IF(F225&lt;=110,F225,0),0)</f>
        <v>0</v>
      </c>
      <c r="M46" s="661">
        <f>IF(F225&gt;110,IF(F225&lt;=130,F225,0),0)</f>
        <v>0</v>
      </c>
      <c r="N46" s="661">
        <f>IF(F225&gt;130,IF(F225&lt;=160,F225,0),0)</f>
        <v>0</v>
      </c>
      <c r="O46" s="661">
        <f>IF(F225&gt;160,F225,0)</f>
        <v>0</v>
      </c>
    </row>
    <row r="47" s="621" customFormat="1" ht="15.75" spans="1:15">
      <c r="A47"/>
      <c r="B47"/>
      <c r="C47" s="650" t="s">
        <v>154</v>
      </c>
      <c r="D47" s="650"/>
      <c r="E47" s="651">
        <v>2</v>
      </c>
      <c r="F47" s="652" t="s">
        <v>155</v>
      </c>
      <c r="G47" s="651"/>
      <c r="H47"/>
      <c r="I47"/>
      <c r="J47"/>
      <c r="K47" s="661">
        <f>IF(F240&lt;=95,F240,0)</f>
        <v>0</v>
      </c>
      <c r="L47" s="661">
        <f>IF(F240&gt;95,IF(F240&lt;=110,F240,0),0)</f>
        <v>0</v>
      </c>
      <c r="M47" s="661">
        <f>IF(F240&gt;110,IF(F240&lt;=130,F240,0),0)</f>
        <v>0</v>
      </c>
      <c r="N47" s="661">
        <f>IF(F240&gt;130,IF(F240&lt;=160,F240,0),0)</f>
        <v>0</v>
      </c>
      <c r="O47" s="661">
        <f>IF(F240&gt;160,F240,0)</f>
        <v>0</v>
      </c>
    </row>
    <row r="48" s="621" customFormat="1" spans="1:15">
      <c r="A48"/>
      <c r="B48"/>
      <c r="C48" s="234" t="s">
        <v>157</v>
      </c>
      <c r="D48" s="259"/>
      <c r="E48" s="235"/>
      <c r="F48" s="653" t="s">
        <v>156</v>
      </c>
      <c r="G48" s="639" t="s">
        <v>151</v>
      </c>
      <c r="H48" s="639" t="s">
        <v>152</v>
      </c>
      <c r="I48" s="640" t="s">
        <v>153</v>
      </c>
      <c r="J48"/>
      <c r="K48" s="661">
        <f>IF(F255&lt;=95,F255,0)</f>
        <v>0</v>
      </c>
      <c r="L48" s="661">
        <f>IF(F255&gt;95,IF(F255&lt;=110,F255,0),0)</f>
        <v>0</v>
      </c>
      <c r="M48" s="661">
        <f>IF(F255&gt;110,IF(F255&lt;=130,F255,0),0)</f>
        <v>0</v>
      </c>
      <c r="N48" s="661">
        <f>IF(F255&gt;130,IF(F255&lt;=160,F255,0),0)</f>
        <v>0</v>
      </c>
      <c r="O48" s="661">
        <f>IF(F255&gt;160,F255,0)</f>
        <v>0</v>
      </c>
    </row>
    <row r="49" s="621" customFormat="1" spans="1:15">
      <c r="A49"/>
      <c r="B49"/>
      <c r="C49" s="641"/>
      <c r="D49" s="642"/>
      <c r="E49" s="654"/>
      <c r="F49" s="580"/>
      <c r="G49" s="580"/>
      <c r="H49" s="656"/>
      <c r="I49" s="643"/>
      <c r="J49"/>
      <c r="K49" s="661">
        <f>IF(F270&lt;=95,F270,0)</f>
        <v>0</v>
      </c>
      <c r="L49" s="661">
        <f>IF(F270&gt;95,IF(F270&lt;=110,F270,0),0)</f>
        <v>0</v>
      </c>
      <c r="M49" s="661">
        <f>IF(F270&gt;110,IF(F270&lt;=130,F270,0),0)</f>
        <v>0</v>
      </c>
      <c r="N49" s="661">
        <f>IF(F270&gt;130,IF(F270&lt;=160,F270,0),0)</f>
        <v>0</v>
      </c>
      <c r="O49" s="661">
        <f>IF(F270&gt;160,F270,0)</f>
        <v>0</v>
      </c>
    </row>
    <row r="50" s="621" customFormat="1" spans="1:15">
      <c r="A50"/>
      <c r="B50"/>
      <c r="C50" s="641"/>
      <c r="D50" s="642"/>
      <c r="E50" s="654"/>
      <c r="F50" s="580"/>
      <c r="G50" s="580"/>
      <c r="H50" s="656"/>
      <c r="I50" s="643"/>
      <c r="J50"/>
      <c r="K50" s="661">
        <f>IF(F285&lt;=95,F285,0)</f>
        <v>0</v>
      </c>
      <c r="L50" s="661">
        <f>IF(F285&gt;95,IF(F285&lt;=110,F285,0),0)</f>
        <v>0</v>
      </c>
      <c r="M50" s="661">
        <f>IF(F285&gt;110,IF(F285&lt;=130,F285,0),0)</f>
        <v>0</v>
      </c>
      <c r="N50" s="661">
        <f>IF(F285&gt;130,IF(F285&lt;=160,F285,0),0)</f>
        <v>0</v>
      </c>
      <c r="O50" s="661">
        <f>IF(F285&gt;160,F285,0)</f>
        <v>0</v>
      </c>
    </row>
    <row r="51" s="621" customFormat="1" spans="1:15">
      <c r="A51"/>
      <c r="B51"/>
      <c r="C51" s="641"/>
      <c r="D51" s="642"/>
      <c r="E51" s="654"/>
      <c r="F51" s="580"/>
      <c r="G51" s="580"/>
      <c r="H51" s="656"/>
      <c r="I51" s="643"/>
      <c r="J51"/>
      <c r="K51" s="661">
        <f>IF(F300&lt;=95,F300,0)</f>
        <v>0</v>
      </c>
      <c r="L51" s="661">
        <f>IF(F300&gt;95,IF(F300&lt;=110,F300,0),0)</f>
        <v>0</v>
      </c>
      <c r="M51" s="661">
        <f>IF(F300&gt;110,IF(F300&lt;=130,F300,0),0)</f>
        <v>0</v>
      </c>
      <c r="N51" s="661">
        <f>IF(F300&gt;130,IF(F300&lt;=160,F300,0),0)</f>
        <v>0</v>
      </c>
      <c r="O51" s="661">
        <f>IF(F300&gt;160,F300,0)</f>
        <v>0</v>
      </c>
    </row>
    <row r="52" s="621" customFormat="1" spans="1:15">
      <c r="A52"/>
      <c r="B52"/>
      <c r="C52" s="641"/>
      <c r="D52" s="642"/>
      <c r="E52" s="654"/>
      <c r="F52" s="580"/>
      <c r="G52" s="580"/>
      <c r="H52" s="656"/>
      <c r="I52" s="643"/>
      <c r="J52"/>
      <c r="K52" s="661">
        <f>IF(F315&lt;=95,F315,0)</f>
        <v>0</v>
      </c>
      <c r="L52" s="661">
        <f>IF(F315&gt;95,IF(F315&lt;=110,F315,0),0)</f>
        <v>0</v>
      </c>
      <c r="M52" s="661">
        <f>IF(F315&gt;110,IF(F315&lt;=130,F315,0),0)</f>
        <v>0</v>
      </c>
      <c r="N52" s="661">
        <f>IF(F315&gt;130,IF(F315&lt;=160,F315,0),0)</f>
        <v>0</v>
      </c>
      <c r="O52" s="661">
        <f>IF(F315&gt;160,F315,0)</f>
        <v>0</v>
      </c>
    </row>
    <row r="53" s="621" customFormat="1" spans="1:15">
      <c r="A53"/>
      <c r="B53"/>
      <c r="C53" s="641"/>
      <c r="D53" s="642"/>
      <c r="E53" s="654"/>
      <c r="F53" s="580"/>
      <c r="G53" s="580"/>
      <c r="H53" s="656"/>
      <c r="I53" s="643"/>
      <c r="J53"/>
      <c r="K53" s="661">
        <f>IF(F330&lt;=95,F330,0)</f>
        <v>0</v>
      </c>
      <c r="L53" s="661">
        <f>IF(F330&gt;95,IF(F330&lt;=110,F330,0),0)</f>
        <v>0</v>
      </c>
      <c r="M53" s="661">
        <f>IF(F330&gt;110,IF(F330&lt;=130,F330,0),0)</f>
        <v>0</v>
      </c>
      <c r="N53" s="661">
        <f>IF(F330&gt;130,IF(F330&lt;=160,F330,0),0)</f>
        <v>0</v>
      </c>
      <c r="O53" s="661">
        <f>IF(F330&gt;160,F330,0)</f>
        <v>0</v>
      </c>
    </row>
    <row r="54" spans="3:15">
      <c r="C54" s="641"/>
      <c r="D54" s="642"/>
      <c r="E54" s="654"/>
      <c r="F54" s="580"/>
      <c r="G54" s="580"/>
      <c r="H54" s="656"/>
      <c r="I54" s="643"/>
      <c r="K54" s="661">
        <f>IF(F345&lt;=95,F345,0)</f>
        <v>0</v>
      </c>
      <c r="L54" s="661">
        <f>IF(F345&gt;95,IF(F345&lt;=110,F345,0),0)</f>
        <v>0</v>
      </c>
      <c r="M54" s="661">
        <f>IF(F345&gt;110,IF(F345&lt;=130,F345,0),0)</f>
        <v>0</v>
      </c>
      <c r="N54" s="661">
        <f>IF(F345&gt;130,IF(F345&lt;=160,F345,0),0)</f>
        <v>0</v>
      </c>
      <c r="O54" s="661">
        <f>IF(F345&gt;160,F345,0)</f>
        <v>0</v>
      </c>
    </row>
    <row r="55" spans="3:15">
      <c r="C55" s="641"/>
      <c r="D55" s="642"/>
      <c r="E55" s="654"/>
      <c r="F55" s="580"/>
      <c r="G55" s="580"/>
      <c r="H55" s="656"/>
      <c r="I55" s="643"/>
      <c r="K55" s="661">
        <f>IF(F360&lt;=95,F360,0)</f>
        <v>0</v>
      </c>
      <c r="L55" s="661">
        <f>IF(345&gt;95,IF(F360&lt;=110,F360,0),0)</f>
        <v>0</v>
      </c>
      <c r="M55" s="661">
        <f>IF(F360&gt;110,IF(F360&lt;=130,F360,0),0)</f>
        <v>0</v>
      </c>
      <c r="N55" s="661">
        <f>IF(F360&gt;130,IF(F360&lt;=160,F360,0),0)</f>
        <v>0</v>
      </c>
      <c r="O55" s="661">
        <f>IF(F360&gt;160,F360,0)</f>
        <v>0</v>
      </c>
    </row>
    <row r="56" spans="3:15">
      <c r="C56" s="641"/>
      <c r="D56" s="642"/>
      <c r="E56" s="654"/>
      <c r="F56" s="580"/>
      <c r="G56" s="580"/>
      <c r="H56" s="656"/>
      <c r="I56" s="643"/>
      <c r="K56" s="661">
        <f>IF(F375&lt;=95,F375,0)</f>
        <v>0</v>
      </c>
      <c r="L56" s="661">
        <f>IF(F375&gt;95,IF(F375&lt;=110,F375,0),0)</f>
        <v>0</v>
      </c>
      <c r="M56" s="661">
        <f>IF(F375&gt;110,IF(F375&lt;=130,F375,0),0)</f>
        <v>0</v>
      </c>
      <c r="N56" s="661">
        <f>IF(F375&gt;130,IF(F375&lt;=160,F375,0),0)</f>
        <v>0</v>
      </c>
      <c r="O56" s="661">
        <f>IF(F375&gt;160,F375,0)</f>
        <v>0</v>
      </c>
    </row>
    <row r="57" spans="3:15">
      <c r="C57" s="641"/>
      <c r="D57" s="642"/>
      <c r="E57" s="654"/>
      <c r="F57" s="580"/>
      <c r="G57" s="580"/>
      <c r="H57" s="656"/>
      <c r="I57" s="643"/>
      <c r="K57" s="661">
        <f>IF(F390&lt;=95,F390,0)</f>
        <v>0</v>
      </c>
      <c r="L57" s="661">
        <f>IF(F390&gt;95,IF(F390&lt;=110,F390,0),0)</f>
        <v>0</v>
      </c>
      <c r="M57" s="661">
        <f>IF(F390&gt;110,IF(F390&lt;=130,F390,0),0)</f>
        <v>0</v>
      </c>
      <c r="N57" s="661">
        <f>IF(F390&gt;130,IF(F390&lt;=160,F390,0),0)</f>
        <v>0</v>
      </c>
      <c r="O57" s="661">
        <f>IF(F390&gt;160,F390,0)</f>
        <v>0</v>
      </c>
    </row>
    <row r="58" spans="3:15">
      <c r="C58" s="641"/>
      <c r="D58" s="642"/>
      <c r="E58" s="654"/>
      <c r="F58" s="580"/>
      <c r="G58" s="580"/>
      <c r="H58" s="656"/>
      <c r="I58" s="643"/>
      <c r="K58" s="661">
        <f>IF(F405&lt;=95,F405,0)</f>
        <v>0</v>
      </c>
      <c r="L58" s="661">
        <f>IF(F405&gt;95,IF(F405&lt;=110,F405,0),0)</f>
        <v>0</v>
      </c>
      <c r="M58" s="661">
        <f>IF(F405&gt;110,IF(F405&lt;=130,F405,0),0)</f>
        <v>0</v>
      </c>
      <c r="N58" s="661">
        <f>IF(F405&gt;130,IF(F405&lt;=160,F405,0),0)</f>
        <v>0</v>
      </c>
      <c r="O58" s="661">
        <f>IF(F405&gt;160,F405,0)</f>
        <v>0</v>
      </c>
    </row>
    <row r="59" ht="13.5" spans="3:15">
      <c r="C59" s="644"/>
      <c r="D59" s="645"/>
      <c r="E59" s="655"/>
      <c r="F59" s="647"/>
      <c r="G59" s="647"/>
      <c r="H59" s="657"/>
      <c r="I59" s="648"/>
      <c r="K59" s="662">
        <f>SUM(K34:K58)</f>
        <v>0</v>
      </c>
      <c r="L59" s="662">
        <f>SUM(L34:L58)</f>
        <v>0</v>
      </c>
      <c r="M59" s="662">
        <f>SUM(M34:M58)</f>
        <v>0</v>
      </c>
      <c r="N59" s="662">
        <f>SUM(N34:N58)</f>
        <v>0</v>
      </c>
      <c r="O59" s="662">
        <f>SUM(O34:O58)</f>
        <v>0</v>
      </c>
    </row>
    <row r="60" ht="15.75" spans="5:15">
      <c r="E60" s="652" t="s">
        <v>37</v>
      </c>
      <c r="F60" s="568">
        <f>SUM(F49:F59)</f>
        <v>0</v>
      </c>
      <c r="G60" s="568">
        <f>SUM(G49:G59)</f>
        <v>0</v>
      </c>
      <c r="H60" s="658">
        <f>SUM(H49:H59)</f>
        <v>0</v>
      </c>
      <c r="I60" s="568">
        <f>SUM(I49:I59)</f>
        <v>0</v>
      </c>
      <c r="K60" s="663"/>
      <c r="L60" s="663"/>
      <c r="M60" s="663"/>
      <c r="N60" s="663"/>
      <c r="O60" s="663"/>
    </row>
    <row r="61" spans="11:15">
      <c r="K61" s="663"/>
      <c r="L61" s="663"/>
      <c r="M61" s="663"/>
      <c r="N61" s="663"/>
      <c r="O61" s="663"/>
    </row>
    <row r="62" ht="15.75" spans="3:15">
      <c r="C62" s="650" t="s">
        <v>154</v>
      </c>
      <c r="D62" s="650"/>
      <c r="E62" s="651">
        <v>3</v>
      </c>
      <c r="F62" s="652" t="s">
        <v>155</v>
      </c>
      <c r="G62" s="651"/>
      <c r="K62" s="663"/>
      <c r="L62" s="663"/>
      <c r="M62" s="663"/>
      <c r="N62" s="663"/>
      <c r="O62" s="663"/>
    </row>
    <row r="63" spans="3:15">
      <c r="C63" s="234" t="s">
        <v>157</v>
      </c>
      <c r="D63" s="259"/>
      <c r="E63" s="235"/>
      <c r="F63" s="653" t="s">
        <v>156</v>
      </c>
      <c r="G63" s="639" t="s">
        <v>151</v>
      </c>
      <c r="H63" s="639" t="s">
        <v>152</v>
      </c>
      <c r="I63" s="640" t="s">
        <v>153</v>
      </c>
      <c r="K63" s="663"/>
      <c r="L63" s="663"/>
      <c r="M63" s="663"/>
      <c r="N63" s="663"/>
      <c r="O63" s="663"/>
    </row>
    <row r="64" spans="3:15">
      <c r="C64" s="641"/>
      <c r="D64" s="642"/>
      <c r="E64" s="654"/>
      <c r="F64" s="580"/>
      <c r="G64" s="580"/>
      <c r="H64" s="580"/>
      <c r="I64" s="643"/>
      <c r="K64" s="663"/>
      <c r="L64" s="663"/>
      <c r="M64" s="663"/>
      <c r="N64" s="663"/>
      <c r="O64" s="663"/>
    </row>
    <row r="65" spans="3:15">
      <c r="C65" s="641"/>
      <c r="D65" s="642"/>
      <c r="E65" s="654"/>
      <c r="F65" s="580"/>
      <c r="G65" s="580"/>
      <c r="H65" s="580"/>
      <c r="I65" s="643"/>
      <c r="K65" s="664"/>
      <c r="L65" s="664"/>
      <c r="M65" s="664"/>
      <c r="N65" s="664"/>
      <c r="O65" s="664"/>
    </row>
    <row r="66" customHeight="1" spans="3:15">
      <c r="C66" s="641"/>
      <c r="D66" s="642"/>
      <c r="E66" s="654"/>
      <c r="F66" s="580"/>
      <c r="G66" s="580"/>
      <c r="H66" s="580"/>
      <c r="I66" s="643"/>
      <c r="K66" s="665" t="s">
        <v>163</v>
      </c>
      <c r="L66" s="666"/>
      <c r="M66" s="666"/>
      <c r="N66" s="667"/>
      <c r="O66" s="668">
        <f>E30+G45+G60+G75+G90+G105+G120+G135+G150+G165+G180+G195+G210+G225+G240+G255+G270+G285+G300+G315+G330+G345+G360+G375+G390+G405</f>
        <v>0</v>
      </c>
    </row>
    <row r="67" spans="3:15">
      <c r="C67" s="641"/>
      <c r="D67" s="642"/>
      <c r="E67" s="654"/>
      <c r="F67" s="580"/>
      <c r="G67" s="580"/>
      <c r="H67" s="580"/>
      <c r="I67" s="643"/>
      <c r="K67" s="669"/>
      <c r="L67" s="670"/>
      <c r="M67" s="670"/>
      <c r="N67" s="671"/>
      <c r="O67" s="672"/>
    </row>
    <row r="68" customHeight="1" spans="3:15">
      <c r="C68" s="641"/>
      <c r="D68" s="642"/>
      <c r="E68" s="654"/>
      <c r="F68" s="580"/>
      <c r="G68" s="580"/>
      <c r="H68" s="580"/>
      <c r="I68" s="643"/>
      <c r="K68" s="665" t="s">
        <v>164</v>
      </c>
      <c r="L68" s="666"/>
      <c r="M68" s="666"/>
      <c r="N68" s="667"/>
      <c r="O68" s="668">
        <f>F30+H45+H60+H75+H90+H105+H120+H135+H150+H165+H180+H195+H210+H225+H240+H255+H270+H285+H300+H315+H330+H345+H360+H375+H390+H405</f>
        <v>0</v>
      </c>
    </row>
    <row r="69" spans="3:15">
      <c r="C69" s="641"/>
      <c r="D69" s="642"/>
      <c r="E69" s="654"/>
      <c r="F69" s="580"/>
      <c r="G69" s="580"/>
      <c r="H69" s="580"/>
      <c r="I69" s="643"/>
      <c r="K69" s="669"/>
      <c r="L69" s="670"/>
      <c r="M69" s="670"/>
      <c r="N69" s="671"/>
      <c r="O69" s="672"/>
    </row>
    <row r="70" spans="3:15">
      <c r="C70" s="641"/>
      <c r="D70" s="642"/>
      <c r="E70" s="654"/>
      <c r="F70" s="580"/>
      <c r="G70" s="580"/>
      <c r="H70" s="580"/>
      <c r="I70" s="643"/>
      <c r="K70" s="673" t="s">
        <v>165</v>
      </c>
      <c r="L70" s="673"/>
      <c r="M70" s="673"/>
      <c r="N70" s="673"/>
      <c r="O70" s="674">
        <f>G30+I45+I60+I75+I90+I105+I120+I135+I150+I165+I180+I195+I210+I225+I240+I255+I270+I285+I300+I315+I330+I345+I360+I375+I390+I405</f>
        <v>0</v>
      </c>
    </row>
    <row r="71" spans="3:15">
      <c r="C71" s="641"/>
      <c r="D71" s="642"/>
      <c r="E71" s="654"/>
      <c r="F71" s="580"/>
      <c r="G71" s="580"/>
      <c r="H71" s="580"/>
      <c r="I71" s="643"/>
      <c r="K71" s="663"/>
      <c r="L71" s="663"/>
      <c r="M71" s="663"/>
      <c r="N71" s="663"/>
      <c r="O71" s="663"/>
    </row>
    <row r="72" spans="3:15">
      <c r="C72" s="641"/>
      <c r="D72" s="642"/>
      <c r="E72" s="654"/>
      <c r="F72" s="580"/>
      <c r="G72" s="580"/>
      <c r="H72" s="580"/>
      <c r="I72" s="643"/>
      <c r="K72" s="675" t="s">
        <v>166</v>
      </c>
      <c r="L72" s="675"/>
      <c r="M72" s="675"/>
      <c r="N72" s="675"/>
      <c r="O72" s="676">
        <f>'Determinazione classe'!D6+'Determinazione classe'!D7+'Determinazione classe'!D8+'Determinazione classe'!D9+'Determinazione classe'!D10</f>
        <v>0</v>
      </c>
    </row>
    <row r="73" spans="3:15">
      <c r="C73" s="641"/>
      <c r="D73" s="642"/>
      <c r="E73" s="654"/>
      <c r="F73" s="580"/>
      <c r="G73" s="580"/>
      <c r="H73" s="580"/>
      <c r="I73" s="643"/>
      <c r="K73" s="675" t="s">
        <v>167</v>
      </c>
      <c r="L73" s="675"/>
      <c r="M73" s="675"/>
      <c r="N73" s="675"/>
      <c r="O73" s="676">
        <f>dimensione_planimetrica_1_totale+dimensione_planimetrica_2_totale+dimensione_planimetrica_3_totale+dimensione_planimetrica_4_totale+dimensione_planimetrica_5_totale</f>
        <v>0</v>
      </c>
    </row>
    <row r="74" ht="13.5" spans="3:15">
      <c r="C74" s="644"/>
      <c r="D74" s="645"/>
      <c r="E74" s="655"/>
      <c r="F74" s="647"/>
      <c r="G74" s="647"/>
      <c r="H74" s="647"/>
      <c r="I74" s="648"/>
      <c r="K74" s="675" t="s">
        <v>168</v>
      </c>
      <c r="L74" s="675"/>
      <c r="M74" s="675"/>
      <c r="N74" s="675"/>
      <c r="O74" s="676">
        <f>dimensione_planimetrica_snr1_totale+dimensione_planimetrica_snr2_totale+dimensione_planimetrica_snr3_totale</f>
        <v>0</v>
      </c>
    </row>
    <row r="75" ht="15.75" spans="5:15">
      <c r="E75" s="652" t="s">
        <v>37</v>
      </c>
      <c r="F75" s="568">
        <f>SUM(F64:F74)</f>
        <v>0</v>
      </c>
      <c r="G75" s="568">
        <f>SUM(G64:G74)</f>
        <v>0</v>
      </c>
      <c r="H75" s="568">
        <f>SUM(H64:H74)</f>
        <v>0</v>
      </c>
      <c r="I75" s="568">
        <f>SUM(I64:I74)</f>
        <v>0</v>
      </c>
      <c r="K75" s="488"/>
      <c r="L75" s="488"/>
      <c r="M75" s="488"/>
      <c r="N75" s="488"/>
      <c r="O75" s="677"/>
    </row>
    <row r="76"/>
    <row r="77" ht="15.75" spans="3:7">
      <c r="C77" s="650" t="s">
        <v>154</v>
      </c>
      <c r="D77" s="650"/>
      <c r="E77" s="651">
        <v>4</v>
      </c>
      <c r="F77" s="652" t="s">
        <v>155</v>
      </c>
      <c r="G77" s="651"/>
    </row>
    <row r="78" spans="3:9">
      <c r="C78" s="234" t="s">
        <v>157</v>
      </c>
      <c r="D78" s="259"/>
      <c r="E78" s="235"/>
      <c r="F78" s="653" t="s">
        <v>156</v>
      </c>
      <c r="G78" s="639" t="s">
        <v>151</v>
      </c>
      <c r="H78" s="639" t="s">
        <v>152</v>
      </c>
      <c r="I78" s="640" t="s">
        <v>153</v>
      </c>
    </row>
    <row r="79" spans="3:9">
      <c r="C79" s="641"/>
      <c r="D79" s="642"/>
      <c r="E79" s="654"/>
      <c r="F79" s="580"/>
      <c r="G79" s="580"/>
      <c r="H79" s="580"/>
      <c r="I79" s="643"/>
    </row>
    <row r="80" spans="3:9">
      <c r="C80" s="641"/>
      <c r="D80" s="642"/>
      <c r="E80" s="654"/>
      <c r="F80" s="580"/>
      <c r="G80" s="580"/>
      <c r="H80" s="580"/>
      <c r="I80" s="643"/>
    </row>
    <row r="81" spans="3:9">
      <c r="C81" s="641"/>
      <c r="D81" s="642"/>
      <c r="E81" s="654"/>
      <c r="F81" s="580"/>
      <c r="G81" s="580"/>
      <c r="H81" s="580"/>
      <c r="I81" s="643"/>
    </row>
    <row r="82" spans="3:9">
      <c r="C82" s="641"/>
      <c r="D82" s="642"/>
      <c r="E82" s="654"/>
      <c r="F82" s="580"/>
      <c r="G82" s="580"/>
      <c r="H82" s="580"/>
      <c r="I82" s="643"/>
    </row>
    <row r="83" spans="3:9">
      <c r="C83" s="641"/>
      <c r="D83" s="642"/>
      <c r="E83" s="654"/>
      <c r="F83" s="580"/>
      <c r="G83" s="580"/>
      <c r="H83" s="580"/>
      <c r="I83" s="643"/>
    </row>
    <row r="84" spans="3:9">
      <c r="C84" s="641"/>
      <c r="D84" s="642"/>
      <c r="E84" s="654"/>
      <c r="F84" s="580"/>
      <c r="G84" s="580"/>
      <c r="H84" s="580"/>
      <c r="I84" s="643"/>
    </row>
    <row r="85" spans="3:9">
      <c r="C85" s="641"/>
      <c r="D85" s="642"/>
      <c r="E85" s="654"/>
      <c r="F85" s="580"/>
      <c r="G85" s="580"/>
      <c r="H85" s="580"/>
      <c r="I85" s="643"/>
    </row>
    <row r="86" spans="3:9">
      <c r="C86" s="641"/>
      <c r="D86" s="642"/>
      <c r="E86" s="654"/>
      <c r="F86" s="580"/>
      <c r="G86" s="580"/>
      <c r="H86" s="580"/>
      <c r="I86" s="643"/>
    </row>
    <row r="87" spans="3:9">
      <c r="C87" s="641"/>
      <c r="D87" s="642"/>
      <c r="E87" s="654"/>
      <c r="F87" s="580"/>
      <c r="G87" s="580"/>
      <c r="H87" s="580"/>
      <c r="I87" s="643"/>
    </row>
    <row r="88" spans="3:9">
      <c r="C88" s="641"/>
      <c r="D88" s="642"/>
      <c r="E88" s="654"/>
      <c r="F88" s="580"/>
      <c r="G88" s="580"/>
      <c r="H88" s="580"/>
      <c r="I88" s="643"/>
    </row>
    <row r="89" ht="13.5" spans="3:9">
      <c r="C89" s="644"/>
      <c r="D89" s="645"/>
      <c r="E89" s="655"/>
      <c r="F89" s="647"/>
      <c r="G89" s="647"/>
      <c r="H89" s="647"/>
      <c r="I89" s="648"/>
    </row>
    <row r="90" ht="15.75" spans="5:9">
      <c r="E90" s="652" t="s">
        <v>37</v>
      </c>
      <c r="F90" s="568">
        <f>SUM(F79:F89)</f>
        <v>0</v>
      </c>
      <c r="G90" s="568">
        <f>SUM(G79:G89)</f>
        <v>0</v>
      </c>
      <c r="H90" s="568">
        <f>SUM(H79:H89)</f>
        <v>0</v>
      </c>
      <c r="I90" s="568">
        <f>SUM(I79:I89)</f>
        <v>0</v>
      </c>
    </row>
    <row r="91"/>
    <row r="92" ht="15.75" spans="3:7">
      <c r="C92" s="650" t="s">
        <v>154</v>
      </c>
      <c r="D92" s="650"/>
      <c r="E92" s="651">
        <v>5</v>
      </c>
      <c r="F92" s="652" t="s">
        <v>155</v>
      </c>
      <c r="G92" s="651"/>
    </row>
    <row r="93" spans="3:9">
      <c r="C93" s="234" t="s">
        <v>157</v>
      </c>
      <c r="D93" s="259"/>
      <c r="E93" s="235"/>
      <c r="F93" s="653" t="s">
        <v>156</v>
      </c>
      <c r="G93" s="639" t="s">
        <v>151</v>
      </c>
      <c r="H93" s="639" t="s">
        <v>152</v>
      </c>
      <c r="I93" s="640" t="s">
        <v>153</v>
      </c>
    </row>
    <row r="94" spans="3:9">
      <c r="C94" s="641"/>
      <c r="D94" s="642"/>
      <c r="E94" s="654"/>
      <c r="F94" s="580"/>
      <c r="G94" s="580"/>
      <c r="H94" s="580"/>
      <c r="I94" s="643"/>
    </row>
    <row r="95" spans="3:9">
      <c r="C95" s="641"/>
      <c r="D95" s="642"/>
      <c r="E95" s="654"/>
      <c r="F95" s="580"/>
      <c r="G95" s="580"/>
      <c r="H95" s="580"/>
      <c r="I95" s="643"/>
    </row>
    <row r="96" spans="3:9">
      <c r="C96" s="641"/>
      <c r="D96" s="642"/>
      <c r="E96" s="654"/>
      <c r="F96" s="580"/>
      <c r="G96" s="580"/>
      <c r="H96" s="580"/>
      <c r="I96" s="643"/>
    </row>
    <row r="97" spans="3:9">
      <c r="C97" s="641"/>
      <c r="D97" s="642"/>
      <c r="E97" s="654"/>
      <c r="F97" s="580"/>
      <c r="G97" s="580"/>
      <c r="H97" s="580"/>
      <c r="I97" s="643"/>
    </row>
    <row r="98" spans="3:9">
      <c r="C98" s="641"/>
      <c r="D98" s="642"/>
      <c r="E98" s="654"/>
      <c r="F98" s="580"/>
      <c r="G98" s="580"/>
      <c r="H98" s="580"/>
      <c r="I98" s="643"/>
    </row>
    <row r="99" spans="3:9">
      <c r="C99" s="641"/>
      <c r="D99" s="642"/>
      <c r="E99" s="654"/>
      <c r="F99" s="580"/>
      <c r="G99" s="580"/>
      <c r="H99" s="580"/>
      <c r="I99" s="643"/>
    </row>
    <row r="100" spans="3:9">
      <c r="C100" s="641"/>
      <c r="D100" s="642"/>
      <c r="E100" s="654"/>
      <c r="F100" s="580"/>
      <c r="G100" s="580"/>
      <c r="H100" s="580"/>
      <c r="I100" s="643"/>
    </row>
    <row r="101" spans="3:9">
      <c r="C101" s="641"/>
      <c r="D101" s="642"/>
      <c r="E101" s="654"/>
      <c r="F101" s="580"/>
      <c r="G101" s="580"/>
      <c r="H101" s="580"/>
      <c r="I101" s="643"/>
    </row>
    <row r="102" spans="3:9">
      <c r="C102" s="641"/>
      <c r="D102" s="642"/>
      <c r="E102" s="654"/>
      <c r="F102" s="580"/>
      <c r="G102" s="580"/>
      <c r="H102" s="580"/>
      <c r="I102" s="643"/>
    </row>
    <row r="103" spans="3:9">
      <c r="C103" s="641"/>
      <c r="D103" s="642"/>
      <c r="E103" s="654"/>
      <c r="F103" s="580"/>
      <c r="G103" s="580"/>
      <c r="H103" s="580"/>
      <c r="I103" s="643"/>
    </row>
    <row r="104" ht="13.5" spans="3:9">
      <c r="C104" s="644"/>
      <c r="D104" s="645"/>
      <c r="E104" s="655"/>
      <c r="F104" s="647"/>
      <c r="G104" s="647"/>
      <c r="H104" s="647"/>
      <c r="I104" s="648"/>
    </row>
    <row r="105" ht="15.75" spans="5:9">
      <c r="E105" s="652" t="s">
        <v>37</v>
      </c>
      <c r="F105" s="568">
        <f>SUM(F94:F104)</f>
        <v>0</v>
      </c>
      <c r="G105" s="568">
        <f>SUM(G94:G104)</f>
        <v>0</v>
      </c>
      <c r="H105" s="568">
        <f>SUM(H94:H104)</f>
        <v>0</v>
      </c>
      <c r="I105" s="568">
        <f>SUM(I94:I104)</f>
        <v>0</v>
      </c>
    </row>
    <row r="106"/>
    <row r="107" ht="15.75" spans="3:7">
      <c r="C107" s="650" t="s">
        <v>154</v>
      </c>
      <c r="D107" s="650"/>
      <c r="E107" s="651">
        <v>6</v>
      </c>
      <c r="F107" s="652" t="s">
        <v>155</v>
      </c>
      <c r="G107" s="651"/>
    </row>
    <row r="108" spans="3:9">
      <c r="C108" s="234" t="s">
        <v>157</v>
      </c>
      <c r="D108" s="259"/>
      <c r="E108" s="235"/>
      <c r="F108" s="653" t="s">
        <v>156</v>
      </c>
      <c r="G108" s="639" t="s">
        <v>151</v>
      </c>
      <c r="H108" s="639" t="s">
        <v>152</v>
      </c>
      <c r="I108" s="640" t="s">
        <v>153</v>
      </c>
    </row>
    <row r="109" spans="3:9">
      <c r="C109" s="641"/>
      <c r="D109" s="642"/>
      <c r="E109" s="654"/>
      <c r="F109" s="580"/>
      <c r="G109" s="580"/>
      <c r="H109" s="580"/>
      <c r="I109" s="643"/>
    </row>
    <row r="110" spans="3:9">
      <c r="C110" s="641"/>
      <c r="D110" s="642"/>
      <c r="E110" s="654"/>
      <c r="F110" s="580"/>
      <c r="G110" s="580"/>
      <c r="H110" s="580"/>
      <c r="I110" s="643"/>
    </row>
    <row r="111" spans="3:9">
      <c r="C111" s="641"/>
      <c r="D111" s="642"/>
      <c r="E111" s="654"/>
      <c r="F111" s="580"/>
      <c r="G111" s="580"/>
      <c r="H111" s="580"/>
      <c r="I111" s="643"/>
    </row>
    <row r="112" spans="3:9">
      <c r="C112" s="641"/>
      <c r="D112" s="642"/>
      <c r="E112" s="654"/>
      <c r="F112" s="580"/>
      <c r="G112" s="580"/>
      <c r="H112" s="580"/>
      <c r="I112" s="643"/>
    </row>
    <row r="113" spans="3:9">
      <c r="C113" s="641"/>
      <c r="D113" s="642"/>
      <c r="E113" s="654"/>
      <c r="F113" s="580"/>
      <c r="G113" s="580"/>
      <c r="H113" s="580"/>
      <c r="I113" s="643"/>
    </row>
    <row r="114" spans="3:9">
      <c r="C114" s="641"/>
      <c r="D114" s="642"/>
      <c r="E114" s="654"/>
      <c r="F114" s="580"/>
      <c r="G114" s="580"/>
      <c r="H114" s="580"/>
      <c r="I114" s="643"/>
    </row>
    <row r="115" spans="3:9">
      <c r="C115" s="641"/>
      <c r="D115" s="642"/>
      <c r="E115" s="654"/>
      <c r="F115" s="580"/>
      <c r="G115" s="580"/>
      <c r="H115" s="580"/>
      <c r="I115" s="643"/>
    </row>
    <row r="116" spans="3:9">
      <c r="C116" s="641"/>
      <c r="D116" s="642"/>
      <c r="E116" s="654"/>
      <c r="F116" s="580"/>
      <c r="G116" s="580"/>
      <c r="H116" s="580"/>
      <c r="I116" s="643"/>
    </row>
    <row r="117" spans="3:9">
      <c r="C117" s="641"/>
      <c r="D117" s="642"/>
      <c r="E117" s="654"/>
      <c r="F117" s="580"/>
      <c r="G117" s="580"/>
      <c r="H117" s="580"/>
      <c r="I117" s="643"/>
    </row>
    <row r="118" spans="3:9">
      <c r="C118" s="641"/>
      <c r="D118" s="642"/>
      <c r="E118" s="654"/>
      <c r="F118" s="580"/>
      <c r="G118" s="580"/>
      <c r="H118" s="580"/>
      <c r="I118" s="643"/>
    </row>
    <row r="119" ht="13.5" spans="3:9">
      <c r="C119" s="644"/>
      <c r="D119" s="645"/>
      <c r="E119" s="655"/>
      <c r="F119" s="647"/>
      <c r="G119" s="647"/>
      <c r="H119" s="647"/>
      <c r="I119" s="648"/>
    </row>
    <row r="120" ht="15.75" spans="5:9">
      <c r="E120" s="652" t="s">
        <v>37</v>
      </c>
      <c r="F120" s="568">
        <f>SUM(F109:F119)</f>
        <v>0</v>
      </c>
      <c r="G120" s="568">
        <f>SUM(G109:G119)</f>
        <v>0</v>
      </c>
      <c r="H120" s="568">
        <f>SUM(H109:H119)</f>
        <v>0</v>
      </c>
      <c r="I120" s="568">
        <f>SUM(I109:I119)</f>
        <v>0</v>
      </c>
    </row>
    <row r="121"/>
    <row r="122" ht="15.75" spans="3:7">
      <c r="C122" s="650" t="s">
        <v>154</v>
      </c>
      <c r="D122" s="650"/>
      <c r="E122" s="651">
        <v>7</v>
      </c>
      <c r="F122" s="652" t="s">
        <v>155</v>
      </c>
      <c r="G122" s="651"/>
    </row>
    <row r="123" spans="3:9">
      <c r="C123" s="234" t="s">
        <v>157</v>
      </c>
      <c r="D123" s="259"/>
      <c r="E123" s="235"/>
      <c r="F123" s="653" t="s">
        <v>156</v>
      </c>
      <c r="G123" s="639" t="s">
        <v>151</v>
      </c>
      <c r="H123" s="639" t="s">
        <v>152</v>
      </c>
      <c r="I123" s="640" t="s">
        <v>153</v>
      </c>
    </row>
    <row r="124" spans="3:9">
      <c r="C124" s="641"/>
      <c r="D124" s="642"/>
      <c r="E124" s="654"/>
      <c r="F124" s="580"/>
      <c r="G124" s="580"/>
      <c r="H124" s="580"/>
      <c r="I124" s="643"/>
    </row>
    <row r="125" spans="3:9">
      <c r="C125" s="641"/>
      <c r="D125" s="642"/>
      <c r="E125" s="654"/>
      <c r="F125" s="580"/>
      <c r="G125" s="580"/>
      <c r="H125" s="580"/>
      <c r="I125" s="643"/>
    </row>
    <row r="126" spans="3:9">
      <c r="C126" s="641"/>
      <c r="D126" s="642"/>
      <c r="E126" s="654"/>
      <c r="F126" s="580"/>
      <c r="G126" s="580"/>
      <c r="H126" s="580"/>
      <c r="I126" s="643"/>
    </row>
    <row r="127" spans="3:9">
      <c r="C127" s="641"/>
      <c r="D127" s="642"/>
      <c r="E127" s="654"/>
      <c r="F127" s="580"/>
      <c r="G127" s="580"/>
      <c r="H127" s="580"/>
      <c r="I127" s="643"/>
    </row>
    <row r="128" spans="3:9">
      <c r="C128" s="641"/>
      <c r="D128" s="642"/>
      <c r="E128" s="654"/>
      <c r="F128" s="580"/>
      <c r="G128" s="580"/>
      <c r="H128" s="580"/>
      <c r="I128" s="643"/>
    </row>
    <row r="129" spans="3:9">
      <c r="C129" s="641"/>
      <c r="D129" s="642"/>
      <c r="E129" s="654"/>
      <c r="F129" s="580"/>
      <c r="G129" s="580"/>
      <c r="H129" s="580"/>
      <c r="I129" s="643"/>
    </row>
    <row r="130" spans="3:9">
      <c r="C130" s="641"/>
      <c r="D130" s="642"/>
      <c r="E130" s="654"/>
      <c r="F130" s="580"/>
      <c r="G130" s="580"/>
      <c r="H130" s="580"/>
      <c r="I130" s="643"/>
    </row>
    <row r="131" spans="3:9">
      <c r="C131" s="641"/>
      <c r="D131" s="642"/>
      <c r="E131" s="654"/>
      <c r="F131" s="580"/>
      <c r="G131" s="580"/>
      <c r="H131" s="580"/>
      <c r="I131" s="643"/>
    </row>
    <row r="132" spans="3:9">
      <c r="C132" s="641"/>
      <c r="D132" s="642"/>
      <c r="E132" s="654"/>
      <c r="F132" s="580"/>
      <c r="G132" s="580"/>
      <c r="H132" s="580"/>
      <c r="I132" s="643"/>
    </row>
    <row r="133" spans="3:9">
      <c r="C133" s="641"/>
      <c r="D133" s="642"/>
      <c r="E133" s="654"/>
      <c r="F133" s="580"/>
      <c r="G133" s="580"/>
      <c r="H133" s="580"/>
      <c r="I133" s="643"/>
    </row>
    <row r="134" ht="13.5" spans="3:9">
      <c r="C134" s="644"/>
      <c r="D134" s="645"/>
      <c r="E134" s="655"/>
      <c r="F134" s="647"/>
      <c r="G134" s="647"/>
      <c r="H134" s="647"/>
      <c r="I134" s="648"/>
    </row>
    <row r="135" ht="15.75" spans="5:9">
      <c r="E135" s="652" t="s">
        <v>37</v>
      </c>
      <c r="F135" s="568">
        <f>SUM(F124:F134)</f>
        <v>0</v>
      </c>
      <c r="G135" s="568">
        <f>SUM(G124:G134)</f>
        <v>0</v>
      </c>
      <c r="H135" s="568">
        <f>SUM(H124:H134)</f>
        <v>0</v>
      </c>
      <c r="I135" s="568">
        <f>SUM(I124:I134)</f>
        <v>0</v>
      </c>
    </row>
    <row r="136"/>
    <row r="137" ht="15.75" spans="3:7">
      <c r="C137" s="650" t="s">
        <v>154</v>
      </c>
      <c r="D137" s="650"/>
      <c r="E137" s="651">
        <v>8</v>
      </c>
      <c r="F137" s="652" t="s">
        <v>155</v>
      </c>
      <c r="G137" s="651"/>
    </row>
    <row r="138" spans="3:9">
      <c r="C138" s="234" t="s">
        <v>157</v>
      </c>
      <c r="D138" s="259"/>
      <c r="E138" s="235"/>
      <c r="F138" s="653" t="s">
        <v>156</v>
      </c>
      <c r="G138" s="639" t="s">
        <v>151</v>
      </c>
      <c r="H138" s="639" t="s">
        <v>152</v>
      </c>
      <c r="I138" s="640" t="s">
        <v>153</v>
      </c>
    </row>
    <row r="139" spans="3:9">
      <c r="C139" s="641"/>
      <c r="D139" s="642"/>
      <c r="E139" s="654"/>
      <c r="F139" s="580"/>
      <c r="G139" s="580"/>
      <c r="H139" s="580"/>
      <c r="I139" s="643"/>
    </row>
    <row r="140" spans="3:9">
      <c r="C140" s="641"/>
      <c r="D140" s="642"/>
      <c r="E140" s="654"/>
      <c r="F140" s="580"/>
      <c r="G140" s="580"/>
      <c r="H140" s="580"/>
      <c r="I140" s="643"/>
    </row>
    <row r="141" spans="3:9">
      <c r="C141" s="641"/>
      <c r="D141" s="642"/>
      <c r="E141" s="654"/>
      <c r="F141" s="580"/>
      <c r="G141" s="580"/>
      <c r="H141" s="580"/>
      <c r="I141" s="643"/>
    </row>
    <row r="142" spans="3:9">
      <c r="C142" s="641"/>
      <c r="D142" s="642"/>
      <c r="E142" s="654"/>
      <c r="F142" s="580"/>
      <c r="G142" s="580"/>
      <c r="H142" s="580"/>
      <c r="I142" s="643"/>
    </row>
    <row r="143" spans="3:9">
      <c r="C143" s="641"/>
      <c r="D143" s="642"/>
      <c r="E143" s="654"/>
      <c r="F143" s="580"/>
      <c r="G143" s="580"/>
      <c r="H143" s="580"/>
      <c r="I143" s="643"/>
    </row>
    <row r="144" spans="3:9">
      <c r="C144" s="641"/>
      <c r="D144" s="642"/>
      <c r="E144" s="654"/>
      <c r="F144" s="580"/>
      <c r="G144" s="580"/>
      <c r="H144" s="580"/>
      <c r="I144" s="643"/>
    </row>
    <row r="145" spans="3:9">
      <c r="C145" s="641"/>
      <c r="D145" s="642"/>
      <c r="E145" s="654"/>
      <c r="F145" s="580"/>
      <c r="G145" s="580"/>
      <c r="H145" s="580"/>
      <c r="I145" s="643"/>
    </row>
    <row r="146" spans="3:9">
      <c r="C146" s="641"/>
      <c r="D146" s="642"/>
      <c r="E146" s="654"/>
      <c r="F146" s="580"/>
      <c r="G146" s="580"/>
      <c r="H146" s="580"/>
      <c r="I146" s="643"/>
    </row>
    <row r="147" spans="3:9">
      <c r="C147" s="641"/>
      <c r="D147" s="642"/>
      <c r="E147" s="654"/>
      <c r="F147" s="580"/>
      <c r="G147" s="580"/>
      <c r="H147" s="580"/>
      <c r="I147" s="643"/>
    </row>
    <row r="148" spans="3:9">
      <c r="C148" s="641"/>
      <c r="D148" s="642"/>
      <c r="E148" s="654"/>
      <c r="F148" s="580"/>
      <c r="G148" s="580"/>
      <c r="H148" s="580"/>
      <c r="I148" s="643"/>
    </row>
    <row r="149" ht="13.5" spans="3:9">
      <c r="C149" s="644"/>
      <c r="D149" s="645"/>
      <c r="E149" s="655"/>
      <c r="F149" s="647"/>
      <c r="G149" s="647"/>
      <c r="H149" s="647"/>
      <c r="I149" s="648"/>
    </row>
    <row r="150" ht="15.75" spans="5:9">
      <c r="E150" s="652" t="s">
        <v>37</v>
      </c>
      <c r="F150" s="568">
        <f>SUM(F139:F149)</f>
        <v>0</v>
      </c>
      <c r="G150" s="568">
        <f>SUM(G139:G149)</f>
        <v>0</v>
      </c>
      <c r="H150" s="568">
        <f>SUM(H139:H149)</f>
        <v>0</v>
      </c>
      <c r="I150" s="568">
        <f>SUM(I139:I149)</f>
        <v>0</v>
      </c>
    </row>
    <row r="151"/>
    <row r="152" ht="15.75" spans="3:7">
      <c r="C152" s="650" t="s">
        <v>154</v>
      </c>
      <c r="D152" s="650"/>
      <c r="E152" s="651">
        <v>9</v>
      </c>
      <c r="F152" s="652" t="s">
        <v>155</v>
      </c>
      <c r="G152" s="651"/>
    </row>
    <row r="153" spans="3:9">
      <c r="C153" s="234" t="s">
        <v>157</v>
      </c>
      <c r="D153" s="259"/>
      <c r="E153" s="235"/>
      <c r="F153" s="653" t="s">
        <v>156</v>
      </c>
      <c r="G153" s="639" t="s">
        <v>151</v>
      </c>
      <c r="H153" s="639" t="s">
        <v>152</v>
      </c>
      <c r="I153" s="640" t="s">
        <v>153</v>
      </c>
    </row>
    <row r="154" spans="3:9">
      <c r="C154" s="641"/>
      <c r="D154" s="642"/>
      <c r="E154" s="654"/>
      <c r="F154" s="580"/>
      <c r="G154" s="580"/>
      <c r="H154" s="580"/>
      <c r="I154" s="643"/>
    </row>
    <row r="155" spans="3:9">
      <c r="C155" s="641"/>
      <c r="D155" s="642"/>
      <c r="E155" s="654"/>
      <c r="F155" s="580"/>
      <c r="G155" s="580"/>
      <c r="H155" s="580"/>
      <c r="I155" s="643"/>
    </row>
    <row r="156" spans="3:9">
      <c r="C156" s="641"/>
      <c r="D156" s="642"/>
      <c r="E156" s="654"/>
      <c r="F156" s="580"/>
      <c r="G156" s="580"/>
      <c r="H156" s="580"/>
      <c r="I156" s="643"/>
    </row>
    <row r="157" spans="3:9">
      <c r="C157" s="641"/>
      <c r="D157" s="642"/>
      <c r="E157" s="654"/>
      <c r="F157" s="580"/>
      <c r="G157" s="580"/>
      <c r="H157" s="580"/>
      <c r="I157" s="643"/>
    </row>
    <row r="158" spans="3:9">
      <c r="C158" s="641"/>
      <c r="D158" s="642"/>
      <c r="E158" s="654"/>
      <c r="F158" s="580"/>
      <c r="G158" s="580"/>
      <c r="H158" s="580"/>
      <c r="I158" s="643"/>
    </row>
    <row r="159" spans="3:9">
      <c r="C159" s="641"/>
      <c r="D159" s="642"/>
      <c r="E159" s="654"/>
      <c r="F159" s="580"/>
      <c r="G159" s="580"/>
      <c r="H159" s="580"/>
      <c r="I159" s="643"/>
    </row>
    <row r="160" spans="3:9">
      <c r="C160" s="641"/>
      <c r="D160" s="642"/>
      <c r="E160" s="654"/>
      <c r="F160" s="580"/>
      <c r="G160" s="580"/>
      <c r="H160" s="580"/>
      <c r="I160" s="643"/>
    </row>
    <row r="161" spans="3:9">
      <c r="C161" s="641"/>
      <c r="D161" s="642"/>
      <c r="E161" s="654"/>
      <c r="F161" s="580"/>
      <c r="G161" s="580"/>
      <c r="H161" s="580"/>
      <c r="I161" s="643"/>
    </row>
    <row r="162" spans="3:9">
      <c r="C162" s="641"/>
      <c r="D162" s="642"/>
      <c r="E162" s="654"/>
      <c r="F162" s="580"/>
      <c r="G162" s="580"/>
      <c r="H162" s="580"/>
      <c r="I162" s="643"/>
    </row>
    <row r="163" spans="3:9">
      <c r="C163" s="641"/>
      <c r="D163" s="642"/>
      <c r="E163" s="654"/>
      <c r="F163" s="580"/>
      <c r="G163" s="580"/>
      <c r="H163" s="580"/>
      <c r="I163" s="643"/>
    </row>
    <row r="164" ht="13.5" spans="3:9">
      <c r="C164" s="644"/>
      <c r="D164" s="645"/>
      <c r="E164" s="655"/>
      <c r="F164" s="647"/>
      <c r="G164" s="647"/>
      <c r="H164" s="647"/>
      <c r="I164" s="648"/>
    </row>
    <row r="165" ht="15.75" spans="5:9">
      <c r="E165" s="652" t="s">
        <v>37</v>
      </c>
      <c r="F165" s="568">
        <f>SUM(F154:F164)</f>
        <v>0</v>
      </c>
      <c r="G165" s="568">
        <f>SUM(G154:G164)</f>
        <v>0</v>
      </c>
      <c r="H165" s="568">
        <f>SUM(H154:H164)</f>
        <v>0</v>
      </c>
      <c r="I165" s="568">
        <f>SUM(I154:I164)</f>
        <v>0</v>
      </c>
    </row>
    <row r="166"/>
    <row r="167" ht="15.75" spans="3:7">
      <c r="C167" s="650" t="s">
        <v>154</v>
      </c>
      <c r="D167" s="650"/>
      <c r="E167" s="651">
        <v>10</v>
      </c>
      <c r="F167" s="652" t="s">
        <v>155</v>
      </c>
      <c r="G167" s="651"/>
    </row>
    <row r="168" spans="3:9">
      <c r="C168" s="234" t="s">
        <v>157</v>
      </c>
      <c r="D168" s="259"/>
      <c r="E168" s="235"/>
      <c r="F168" s="653" t="s">
        <v>156</v>
      </c>
      <c r="G168" s="639" t="s">
        <v>151</v>
      </c>
      <c r="H168" s="639" t="s">
        <v>152</v>
      </c>
      <c r="I168" s="640" t="s">
        <v>153</v>
      </c>
    </row>
    <row r="169" spans="3:9">
      <c r="C169" s="641"/>
      <c r="D169" s="642"/>
      <c r="E169" s="654"/>
      <c r="F169" s="580"/>
      <c r="G169" s="580"/>
      <c r="H169" s="580"/>
      <c r="I169" s="643"/>
    </row>
    <row r="170" spans="3:9">
      <c r="C170" s="641"/>
      <c r="D170" s="642"/>
      <c r="E170" s="654"/>
      <c r="F170" s="580"/>
      <c r="G170" s="580"/>
      <c r="H170" s="580"/>
      <c r="I170" s="643"/>
    </row>
    <row r="171" spans="3:9">
      <c r="C171" s="641"/>
      <c r="D171" s="642"/>
      <c r="E171" s="654"/>
      <c r="F171" s="580"/>
      <c r="G171" s="580"/>
      <c r="H171" s="580"/>
      <c r="I171" s="643"/>
    </row>
    <row r="172" spans="3:9">
      <c r="C172" s="641"/>
      <c r="D172" s="642"/>
      <c r="E172" s="654"/>
      <c r="F172" s="580"/>
      <c r="G172" s="580"/>
      <c r="H172" s="580"/>
      <c r="I172" s="643"/>
    </row>
    <row r="173" spans="3:9">
      <c r="C173" s="641"/>
      <c r="D173" s="642"/>
      <c r="E173" s="654"/>
      <c r="F173" s="580"/>
      <c r="G173" s="580"/>
      <c r="H173" s="580"/>
      <c r="I173" s="643"/>
    </row>
    <row r="174" spans="3:9">
      <c r="C174" s="641"/>
      <c r="D174" s="642"/>
      <c r="E174" s="654"/>
      <c r="F174" s="580"/>
      <c r="G174" s="580"/>
      <c r="H174" s="580"/>
      <c r="I174" s="643"/>
    </row>
    <row r="175" spans="3:9">
      <c r="C175" s="641"/>
      <c r="D175" s="642"/>
      <c r="E175" s="654"/>
      <c r="F175" s="580"/>
      <c r="G175" s="580"/>
      <c r="H175" s="580"/>
      <c r="I175" s="643"/>
    </row>
    <row r="176" spans="3:9">
      <c r="C176" s="641"/>
      <c r="D176" s="642"/>
      <c r="E176" s="654"/>
      <c r="F176" s="580"/>
      <c r="G176" s="580"/>
      <c r="H176" s="580"/>
      <c r="I176" s="643"/>
    </row>
    <row r="177" spans="3:9">
      <c r="C177" s="641"/>
      <c r="D177" s="642"/>
      <c r="E177" s="654"/>
      <c r="F177" s="580"/>
      <c r="G177" s="580"/>
      <c r="H177" s="580"/>
      <c r="I177" s="643"/>
    </row>
    <row r="178" spans="3:9">
      <c r="C178" s="641"/>
      <c r="D178" s="642"/>
      <c r="E178" s="654"/>
      <c r="F178" s="580"/>
      <c r="G178" s="580"/>
      <c r="H178" s="580"/>
      <c r="I178" s="643"/>
    </row>
    <row r="179" ht="13.5" spans="3:9">
      <c r="C179" s="644"/>
      <c r="D179" s="645"/>
      <c r="E179" s="655"/>
      <c r="F179" s="647"/>
      <c r="G179" s="647"/>
      <c r="H179" s="647"/>
      <c r="I179" s="648"/>
    </row>
    <row r="180" ht="15.75" spans="5:9">
      <c r="E180" s="652" t="s">
        <v>37</v>
      </c>
      <c r="F180" s="568">
        <f>SUM(F169:F179)</f>
        <v>0</v>
      </c>
      <c r="G180" s="568">
        <f>SUM(G169:G179)</f>
        <v>0</v>
      </c>
      <c r="H180" s="568">
        <f>SUM(H169:H179)</f>
        <v>0</v>
      </c>
      <c r="I180" s="568">
        <f>SUM(I169:I179)</f>
        <v>0</v>
      </c>
    </row>
    <row r="181"/>
    <row r="182" ht="15.75" spans="3:7">
      <c r="C182" s="650" t="s">
        <v>154</v>
      </c>
      <c r="D182" s="650"/>
      <c r="E182" s="651">
        <v>11</v>
      </c>
      <c r="F182" s="652" t="s">
        <v>155</v>
      </c>
      <c r="G182" s="651"/>
    </row>
    <row r="183" spans="3:9">
      <c r="C183" s="234" t="s">
        <v>157</v>
      </c>
      <c r="D183" s="259"/>
      <c r="E183" s="235"/>
      <c r="F183" s="653" t="s">
        <v>156</v>
      </c>
      <c r="G183" s="639" t="s">
        <v>151</v>
      </c>
      <c r="H183" s="639" t="s">
        <v>152</v>
      </c>
      <c r="I183" s="640" t="s">
        <v>153</v>
      </c>
    </row>
    <row r="184" spans="3:9">
      <c r="C184" s="641"/>
      <c r="D184" s="642"/>
      <c r="E184" s="654"/>
      <c r="F184" s="580"/>
      <c r="G184" s="580"/>
      <c r="H184" s="580"/>
      <c r="I184" s="643"/>
    </row>
    <row r="185" spans="3:9">
      <c r="C185" s="641"/>
      <c r="D185" s="642"/>
      <c r="E185" s="654"/>
      <c r="F185" s="580"/>
      <c r="G185" s="580"/>
      <c r="H185" s="580"/>
      <c r="I185" s="643"/>
    </row>
    <row r="186" spans="3:9">
      <c r="C186" s="641"/>
      <c r="D186" s="642"/>
      <c r="E186" s="654"/>
      <c r="F186" s="580"/>
      <c r="G186" s="580"/>
      <c r="H186" s="580"/>
      <c r="I186" s="643"/>
    </row>
    <row r="187" spans="3:9">
      <c r="C187" s="641"/>
      <c r="D187" s="642"/>
      <c r="E187" s="654"/>
      <c r="F187" s="580"/>
      <c r="G187" s="580"/>
      <c r="H187" s="580"/>
      <c r="I187" s="643"/>
    </row>
    <row r="188" spans="3:9">
      <c r="C188" s="641"/>
      <c r="D188" s="642"/>
      <c r="E188" s="654"/>
      <c r="F188" s="580"/>
      <c r="G188" s="580"/>
      <c r="H188" s="580"/>
      <c r="I188" s="643"/>
    </row>
    <row r="189" spans="3:9">
      <c r="C189" s="641"/>
      <c r="D189" s="642"/>
      <c r="E189" s="654"/>
      <c r="F189" s="580"/>
      <c r="G189" s="580"/>
      <c r="H189" s="580"/>
      <c r="I189" s="643"/>
    </row>
    <row r="190" spans="3:9">
      <c r="C190" s="641"/>
      <c r="D190" s="642"/>
      <c r="E190" s="654"/>
      <c r="F190" s="580"/>
      <c r="G190" s="580"/>
      <c r="H190" s="580"/>
      <c r="I190" s="643"/>
    </row>
    <row r="191" spans="3:9">
      <c r="C191" s="641"/>
      <c r="D191" s="642"/>
      <c r="E191" s="654"/>
      <c r="F191" s="580"/>
      <c r="G191" s="580"/>
      <c r="H191" s="580"/>
      <c r="I191" s="643"/>
    </row>
    <row r="192" spans="3:9">
      <c r="C192" s="641"/>
      <c r="D192" s="642"/>
      <c r="E192" s="654"/>
      <c r="F192" s="580"/>
      <c r="G192" s="580"/>
      <c r="H192" s="580"/>
      <c r="I192" s="643"/>
    </row>
    <row r="193" spans="3:9">
      <c r="C193" s="641"/>
      <c r="D193" s="642"/>
      <c r="E193" s="654"/>
      <c r="F193" s="580"/>
      <c r="G193" s="580"/>
      <c r="H193" s="580"/>
      <c r="I193" s="643"/>
    </row>
    <row r="194" ht="13.5" spans="3:9">
      <c r="C194" s="644"/>
      <c r="D194" s="645"/>
      <c r="E194" s="655"/>
      <c r="F194" s="647"/>
      <c r="G194" s="647"/>
      <c r="H194" s="647"/>
      <c r="I194" s="648"/>
    </row>
    <row r="195" ht="15.75" spans="5:9">
      <c r="E195" s="652" t="s">
        <v>37</v>
      </c>
      <c r="F195" s="568">
        <f>SUM(F184:F194)</f>
        <v>0</v>
      </c>
      <c r="G195" s="568">
        <f>SUM(G184:G194)</f>
        <v>0</v>
      </c>
      <c r="H195" s="568">
        <f>SUM(H184:H194)</f>
        <v>0</v>
      </c>
      <c r="I195" s="568">
        <f>SUM(I184:I194)</f>
        <v>0</v>
      </c>
    </row>
    <row r="196"/>
    <row r="197" ht="15.75" spans="3:7">
      <c r="C197" s="650" t="s">
        <v>154</v>
      </c>
      <c r="D197" s="650"/>
      <c r="E197" s="651">
        <v>12</v>
      </c>
      <c r="F197" s="652" t="s">
        <v>155</v>
      </c>
      <c r="G197" s="651"/>
    </row>
    <row r="198" spans="3:9">
      <c r="C198" s="234" t="s">
        <v>157</v>
      </c>
      <c r="D198" s="259"/>
      <c r="E198" s="235"/>
      <c r="F198" s="653" t="s">
        <v>156</v>
      </c>
      <c r="G198" s="639" t="s">
        <v>151</v>
      </c>
      <c r="H198" s="639" t="s">
        <v>152</v>
      </c>
      <c r="I198" s="640" t="s">
        <v>153</v>
      </c>
    </row>
    <row r="199" spans="3:9">
      <c r="C199" s="641"/>
      <c r="D199" s="642"/>
      <c r="E199" s="654"/>
      <c r="F199" s="580"/>
      <c r="G199" s="580"/>
      <c r="H199" s="580"/>
      <c r="I199" s="643"/>
    </row>
    <row r="200" spans="3:9">
      <c r="C200" s="641"/>
      <c r="D200" s="642"/>
      <c r="E200" s="654"/>
      <c r="F200" s="580"/>
      <c r="G200" s="580"/>
      <c r="H200" s="580"/>
      <c r="I200" s="643"/>
    </row>
    <row r="201" spans="3:9">
      <c r="C201" s="641"/>
      <c r="D201" s="642"/>
      <c r="E201" s="654"/>
      <c r="F201" s="580"/>
      <c r="G201" s="580"/>
      <c r="H201" s="580"/>
      <c r="I201" s="643"/>
    </row>
    <row r="202" spans="3:9">
      <c r="C202" s="641"/>
      <c r="D202" s="642"/>
      <c r="E202" s="654"/>
      <c r="F202" s="580"/>
      <c r="G202" s="580"/>
      <c r="H202" s="580"/>
      <c r="I202" s="643"/>
    </row>
    <row r="203" spans="3:9">
      <c r="C203" s="641"/>
      <c r="D203" s="642"/>
      <c r="E203" s="654"/>
      <c r="F203" s="580"/>
      <c r="G203" s="580"/>
      <c r="H203" s="580"/>
      <c r="I203" s="643"/>
    </row>
    <row r="204" spans="3:9">
      <c r="C204" s="641"/>
      <c r="D204" s="642"/>
      <c r="E204" s="654"/>
      <c r="F204" s="580"/>
      <c r="G204" s="580"/>
      <c r="H204" s="580"/>
      <c r="I204" s="643"/>
    </row>
    <row r="205" spans="3:9">
      <c r="C205" s="641"/>
      <c r="D205" s="642"/>
      <c r="E205" s="654"/>
      <c r="F205" s="580"/>
      <c r="G205" s="580"/>
      <c r="H205" s="580"/>
      <c r="I205" s="643"/>
    </row>
    <row r="206" spans="3:9">
      <c r="C206" s="641"/>
      <c r="D206" s="642"/>
      <c r="E206" s="654"/>
      <c r="F206" s="580"/>
      <c r="G206" s="580"/>
      <c r="H206" s="580"/>
      <c r="I206" s="643"/>
    </row>
    <row r="207" spans="3:9">
      <c r="C207" s="641"/>
      <c r="D207" s="642"/>
      <c r="E207" s="654"/>
      <c r="F207" s="580"/>
      <c r="G207" s="580"/>
      <c r="H207" s="580"/>
      <c r="I207" s="643"/>
    </row>
    <row r="208" spans="3:9">
      <c r="C208" s="641"/>
      <c r="D208" s="642"/>
      <c r="E208" s="654"/>
      <c r="F208" s="580"/>
      <c r="G208" s="580"/>
      <c r="H208" s="580"/>
      <c r="I208" s="643"/>
    </row>
    <row r="209" ht="13.5" spans="3:9">
      <c r="C209" s="644"/>
      <c r="D209" s="645"/>
      <c r="E209" s="655"/>
      <c r="F209" s="647"/>
      <c r="G209" s="647"/>
      <c r="H209" s="647"/>
      <c r="I209" s="648"/>
    </row>
    <row r="210" ht="15.75" spans="5:9">
      <c r="E210" s="652" t="s">
        <v>37</v>
      </c>
      <c r="F210" s="568">
        <f>SUM(F199:F209)</f>
        <v>0</v>
      </c>
      <c r="G210" s="568">
        <f>SUM(G199:G209)</f>
        <v>0</v>
      </c>
      <c r="H210" s="568">
        <f>SUM(H199:H209)</f>
        <v>0</v>
      </c>
      <c r="I210" s="568">
        <f>SUM(I199:I209)</f>
        <v>0</v>
      </c>
    </row>
    <row r="211"/>
    <row r="212" ht="15.75" spans="3:7">
      <c r="C212" s="650" t="s">
        <v>154</v>
      </c>
      <c r="D212" s="650"/>
      <c r="E212" s="651">
        <v>13</v>
      </c>
      <c r="F212" s="652" t="s">
        <v>155</v>
      </c>
      <c r="G212" s="651"/>
    </row>
    <row r="213" spans="3:9">
      <c r="C213" s="234" t="s">
        <v>157</v>
      </c>
      <c r="D213" s="259"/>
      <c r="E213" s="235"/>
      <c r="F213" s="653" t="s">
        <v>156</v>
      </c>
      <c r="G213" s="639" t="s">
        <v>151</v>
      </c>
      <c r="H213" s="639" t="s">
        <v>152</v>
      </c>
      <c r="I213" s="640" t="s">
        <v>153</v>
      </c>
    </row>
    <row r="214" spans="3:9">
      <c r="C214" s="641"/>
      <c r="D214" s="642"/>
      <c r="E214" s="654"/>
      <c r="F214" s="580"/>
      <c r="G214" s="580"/>
      <c r="H214" s="580"/>
      <c r="I214" s="643"/>
    </row>
    <row r="215" spans="3:9">
      <c r="C215" s="641"/>
      <c r="D215" s="642"/>
      <c r="E215" s="654"/>
      <c r="F215" s="580"/>
      <c r="G215" s="580"/>
      <c r="H215" s="580"/>
      <c r="I215" s="643"/>
    </row>
    <row r="216" spans="3:9">
      <c r="C216" s="641"/>
      <c r="D216" s="642"/>
      <c r="E216" s="654"/>
      <c r="F216" s="580"/>
      <c r="G216" s="580"/>
      <c r="H216" s="580"/>
      <c r="I216" s="643"/>
    </row>
    <row r="217" spans="3:9">
      <c r="C217" s="641"/>
      <c r="D217" s="642"/>
      <c r="E217" s="654"/>
      <c r="F217" s="580"/>
      <c r="G217" s="580"/>
      <c r="H217" s="580"/>
      <c r="I217" s="643"/>
    </row>
    <row r="218" spans="3:9">
      <c r="C218" s="641"/>
      <c r="D218" s="642"/>
      <c r="E218" s="654"/>
      <c r="F218" s="580"/>
      <c r="G218" s="580"/>
      <c r="H218" s="580"/>
      <c r="I218" s="643"/>
    </row>
    <row r="219" spans="3:9">
      <c r="C219" s="641"/>
      <c r="D219" s="642"/>
      <c r="E219" s="654"/>
      <c r="F219" s="580"/>
      <c r="G219" s="580"/>
      <c r="H219" s="580"/>
      <c r="I219" s="643"/>
    </row>
    <row r="220" spans="3:9">
      <c r="C220" s="641"/>
      <c r="D220" s="642"/>
      <c r="E220" s="654"/>
      <c r="F220" s="580"/>
      <c r="G220" s="580"/>
      <c r="H220" s="580"/>
      <c r="I220" s="643"/>
    </row>
    <row r="221" spans="3:9">
      <c r="C221" s="641"/>
      <c r="D221" s="642"/>
      <c r="E221" s="654"/>
      <c r="F221" s="580"/>
      <c r="G221" s="580"/>
      <c r="H221" s="580"/>
      <c r="I221" s="643"/>
    </row>
    <row r="222" spans="3:9">
      <c r="C222" s="641"/>
      <c r="D222" s="642"/>
      <c r="E222" s="654"/>
      <c r="F222" s="580"/>
      <c r="G222" s="580"/>
      <c r="H222" s="580"/>
      <c r="I222" s="643"/>
    </row>
    <row r="223" spans="3:9">
      <c r="C223" s="641"/>
      <c r="D223" s="642"/>
      <c r="E223" s="654"/>
      <c r="F223" s="580"/>
      <c r="G223" s="580"/>
      <c r="H223" s="580"/>
      <c r="I223" s="643"/>
    </row>
    <row r="224" ht="13.5" spans="3:9">
      <c r="C224" s="644"/>
      <c r="D224" s="645"/>
      <c r="E224" s="655"/>
      <c r="F224" s="647"/>
      <c r="G224" s="647"/>
      <c r="H224" s="647"/>
      <c r="I224" s="648"/>
    </row>
    <row r="225" ht="15.75" spans="5:9">
      <c r="E225" s="652" t="s">
        <v>37</v>
      </c>
      <c r="F225" s="568">
        <f>SUM(F214:F224)</f>
        <v>0</v>
      </c>
      <c r="G225" s="568">
        <f>SUM(G214:G224)</f>
        <v>0</v>
      </c>
      <c r="H225" s="568">
        <f>SUM(H214:H224)</f>
        <v>0</v>
      </c>
      <c r="I225" s="568">
        <f>SUM(I214:I224)</f>
        <v>0</v>
      </c>
    </row>
    <row r="226"/>
    <row r="227" ht="15.75" spans="3:7">
      <c r="C227" s="650" t="s">
        <v>154</v>
      </c>
      <c r="D227" s="650"/>
      <c r="E227" s="651">
        <v>14</v>
      </c>
      <c r="F227" s="652" t="s">
        <v>155</v>
      </c>
      <c r="G227" s="651"/>
    </row>
    <row r="228" spans="3:9">
      <c r="C228" s="234" t="s">
        <v>157</v>
      </c>
      <c r="D228" s="259"/>
      <c r="E228" s="235"/>
      <c r="F228" s="653" t="s">
        <v>156</v>
      </c>
      <c r="G228" s="639" t="s">
        <v>151</v>
      </c>
      <c r="H228" s="639" t="s">
        <v>152</v>
      </c>
      <c r="I228" s="640" t="s">
        <v>153</v>
      </c>
    </row>
    <row r="229" spans="3:9">
      <c r="C229" s="641"/>
      <c r="D229" s="642"/>
      <c r="E229" s="654"/>
      <c r="F229" s="580"/>
      <c r="G229" s="580"/>
      <c r="H229" s="580"/>
      <c r="I229" s="643"/>
    </row>
    <row r="230" spans="3:9">
      <c r="C230" s="641"/>
      <c r="D230" s="642"/>
      <c r="E230" s="654"/>
      <c r="F230" s="580"/>
      <c r="G230" s="580"/>
      <c r="H230" s="580"/>
      <c r="I230" s="643"/>
    </row>
    <row r="231" spans="3:9">
      <c r="C231" s="641"/>
      <c r="D231" s="642"/>
      <c r="E231" s="654"/>
      <c r="F231" s="580"/>
      <c r="G231" s="580"/>
      <c r="H231" s="580"/>
      <c r="I231" s="643"/>
    </row>
    <row r="232" spans="3:9">
      <c r="C232" s="641"/>
      <c r="D232" s="642"/>
      <c r="E232" s="654"/>
      <c r="F232" s="580"/>
      <c r="G232" s="580"/>
      <c r="H232" s="580"/>
      <c r="I232" s="643"/>
    </row>
    <row r="233" spans="3:9">
      <c r="C233" s="641"/>
      <c r="D233" s="642"/>
      <c r="E233" s="654"/>
      <c r="F233" s="580"/>
      <c r="G233" s="580"/>
      <c r="H233" s="580"/>
      <c r="I233" s="643"/>
    </row>
    <row r="234" spans="3:9">
      <c r="C234" s="641"/>
      <c r="D234" s="642"/>
      <c r="E234" s="654"/>
      <c r="F234" s="580"/>
      <c r="G234" s="580"/>
      <c r="H234" s="580"/>
      <c r="I234" s="643"/>
    </row>
    <row r="235" spans="3:9">
      <c r="C235" s="641"/>
      <c r="D235" s="642"/>
      <c r="E235" s="654"/>
      <c r="F235" s="580"/>
      <c r="G235" s="580"/>
      <c r="H235" s="580"/>
      <c r="I235" s="643"/>
    </row>
    <row r="236" spans="3:9">
      <c r="C236" s="641"/>
      <c r="D236" s="642"/>
      <c r="E236" s="654"/>
      <c r="F236" s="580"/>
      <c r="G236" s="580"/>
      <c r="H236" s="580"/>
      <c r="I236" s="643"/>
    </row>
    <row r="237" spans="3:9">
      <c r="C237" s="641"/>
      <c r="D237" s="642"/>
      <c r="E237" s="654"/>
      <c r="F237" s="580"/>
      <c r="G237" s="580"/>
      <c r="H237" s="580"/>
      <c r="I237" s="643"/>
    </row>
    <row r="238" spans="3:9">
      <c r="C238" s="641"/>
      <c r="D238" s="642"/>
      <c r="E238" s="654"/>
      <c r="F238" s="580"/>
      <c r="G238" s="580"/>
      <c r="H238" s="580"/>
      <c r="I238" s="643"/>
    </row>
    <row r="239" ht="13.5" spans="3:9">
      <c r="C239" s="644"/>
      <c r="D239" s="645"/>
      <c r="E239" s="655"/>
      <c r="F239" s="647"/>
      <c r="G239" s="647"/>
      <c r="H239" s="647"/>
      <c r="I239" s="648"/>
    </row>
    <row r="240" ht="15.75" spans="5:9">
      <c r="E240" s="652" t="s">
        <v>37</v>
      </c>
      <c r="F240" s="568">
        <f>SUM(F229:F239)</f>
        <v>0</v>
      </c>
      <c r="G240" s="568">
        <f>SUM(G229:G239)</f>
        <v>0</v>
      </c>
      <c r="H240" s="568">
        <f>SUM(H229:H239)</f>
        <v>0</v>
      </c>
      <c r="I240" s="568">
        <f>SUM(I229:I239)</f>
        <v>0</v>
      </c>
    </row>
    <row r="241"/>
    <row r="242" ht="15.75" spans="3:7">
      <c r="C242" s="650" t="s">
        <v>154</v>
      </c>
      <c r="D242" s="650"/>
      <c r="E242" s="651">
        <v>15</v>
      </c>
      <c r="F242" s="652" t="s">
        <v>155</v>
      </c>
      <c r="G242" s="651"/>
    </row>
    <row r="243" spans="3:9">
      <c r="C243" s="234" t="s">
        <v>157</v>
      </c>
      <c r="D243" s="259"/>
      <c r="E243" s="235"/>
      <c r="F243" s="653" t="s">
        <v>156</v>
      </c>
      <c r="G243" s="639" t="s">
        <v>151</v>
      </c>
      <c r="H243" s="639" t="s">
        <v>152</v>
      </c>
      <c r="I243" s="640" t="s">
        <v>153</v>
      </c>
    </row>
    <row r="244" spans="3:9">
      <c r="C244" s="641"/>
      <c r="D244" s="642"/>
      <c r="E244" s="654"/>
      <c r="F244" s="580"/>
      <c r="G244" s="580"/>
      <c r="H244" s="580"/>
      <c r="I244" s="643"/>
    </row>
    <row r="245" spans="3:9">
      <c r="C245" s="641"/>
      <c r="D245" s="642"/>
      <c r="E245" s="654"/>
      <c r="F245" s="580"/>
      <c r="G245" s="580"/>
      <c r="H245" s="580"/>
      <c r="I245" s="643"/>
    </row>
    <row r="246" spans="3:9">
      <c r="C246" s="641"/>
      <c r="D246" s="642"/>
      <c r="E246" s="654"/>
      <c r="F246" s="580"/>
      <c r="G246" s="580"/>
      <c r="H246" s="580"/>
      <c r="I246" s="643"/>
    </row>
    <row r="247" spans="3:9">
      <c r="C247" s="641"/>
      <c r="D247" s="642"/>
      <c r="E247" s="654"/>
      <c r="F247" s="580"/>
      <c r="G247" s="580"/>
      <c r="H247" s="580"/>
      <c r="I247" s="643"/>
    </row>
    <row r="248" spans="3:9">
      <c r="C248" s="641"/>
      <c r="D248" s="642"/>
      <c r="E248" s="654"/>
      <c r="F248" s="580"/>
      <c r="G248" s="580"/>
      <c r="H248" s="580"/>
      <c r="I248" s="643"/>
    </row>
    <row r="249" spans="3:9">
      <c r="C249" s="641"/>
      <c r="D249" s="642"/>
      <c r="E249" s="654"/>
      <c r="F249" s="580"/>
      <c r="G249" s="580"/>
      <c r="H249" s="580"/>
      <c r="I249" s="643"/>
    </row>
    <row r="250" spans="3:9">
      <c r="C250" s="641"/>
      <c r="D250" s="642"/>
      <c r="E250" s="654"/>
      <c r="F250" s="580"/>
      <c r="G250" s="580"/>
      <c r="H250" s="580"/>
      <c r="I250" s="643"/>
    </row>
    <row r="251" spans="3:9">
      <c r="C251" s="641"/>
      <c r="D251" s="642"/>
      <c r="E251" s="654"/>
      <c r="F251" s="580"/>
      <c r="G251" s="580"/>
      <c r="H251" s="580"/>
      <c r="I251" s="643"/>
    </row>
    <row r="252" spans="3:9">
      <c r="C252" s="641"/>
      <c r="D252" s="642"/>
      <c r="E252" s="654"/>
      <c r="F252" s="580"/>
      <c r="G252" s="580"/>
      <c r="H252" s="580"/>
      <c r="I252" s="643"/>
    </row>
    <row r="253" spans="3:9">
      <c r="C253" s="641"/>
      <c r="D253" s="642"/>
      <c r="E253" s="654"/>
      <c r="F253" s="580"/>
      <c r="G253" s="580"/>
      <c r="H253" s="580"/>
      <c r="I253" s="643"/>
    </row>
    <row r="254" ht="13.5" spans="3:9">
      <c r="C254" s="644"/>
      <c r="D254" s="645"/>
      <c r="E254" s="655"/>
      <c r="F254" s="647"/>
      <c r="G254" s="647"/>
      <c r="H254" s="647"/>
      <c r="I254" s="648"/>
    </row>
    <row r="255" ht="15.75" spans="5:9">
      <c r="E255" s="652" t="s">
        <v>37</v>
      </c>
      <c r="F255" s="568">
        <f>SUM(F244:F254)</f>
        <v>0</v>
      </c>
      <c r="G255" s="568">
        <f>SUM(G244:G254)</f>
        <v>0</v>
      </c>
      <c r="H255" s="568">
        <f>SUM(H244:H254)</f>
        <v>0</v>
      </c>
      <c r="I255" s="568">
        <f>SUM(I244:I254)</f>
        <v>0</v>
      </c>
    </row>
    <row r="256"/>
    <row r="257" ht="15.75" spans="3:7">
      <c r="C257" s="650" t="s">
        <v>154</v>
      </c>
      <c r="D257" s="650"/>
      <c r="E257" s="651">
        <v>16</v>
      </c>
      <c r="F257" s="652" t="s">
        <v>155</v>
      </c>
      <c r="G257" s="651"/>
    </row>
    <row r="258" spans="3:9">
      <c r="C258" s="234" t="s">
        <v>157</v>
      </c>
      <c r="D258" s="259"/>
      <c r="E258" s="235"/>
      <c r="F258" s="653" t="s">
        <v>156</v>
      </c>
      <c r="G258" s="639" t="s">
        <v>151</v>
      </c>
      <c r="H258" s="639" t="s">
        <v>152</v>
      </c>
      <c r="I258" s="640" t="s">
        <v>153</v>
      </c>
    </row>
    <row r="259" spans="3:9">
      <c r="C259" s="641"/>
      <c r="D259" s="642"/>
      <c r="E259" s="654"/>
      <c r="F259" s="580"/>
      <c r="G259" s="580"/>
      <c r="H259" s="580"/>
      <c r="I259" s="643"/>
    </row>
    <row r="260" spans="3:9">
      <c r="C260" s="641"/>
      <c r="D260" s="642"/>
      <c r="E260" s="654"/>
      <c r="F260" s="580"/>
      <c r="G260" s="580"/>
      <c r="H260" s="580"/>
      <c r="I260" s="643"/>
    </row>
    <row r="261" spans="3:9">
      <c r="C261" s="641"/>
      <c r="D261" s="642"/>
      <c r="E261" s="654"/>
      <c r="F261" s="580"/>
      <c r="G261" s="580"/>
      <c r="H261" s="580"/>
      <c r="I261" s="643"/>
    </row>
    <row r="262" spans="3:9">
      <c r="C262" s="641"/>
      <c r="D262" s="642"/>
      <c r="E262" s="654"/>
      <c r="F262" s="580"/>
      <c r="G262" s="580"/>
      <c r="H262" s="580"/>
      <c r="I262" s="643"/>
    </row>
    <row r="263" spans="3:9">
      <c r="C263" s="641"/>
      <c r="D263" s="642"/>
      <c r="E263" s="654"/>
      <c r="F263" s="580"/>
      <c r="G263" s="580"/>
      <c r="H263" s="580"/>
      <c r="I263" s="643"/>
    </row>
    <row r="264" spans="3:9">
      <c r="C264" s="641"/>
      <c r="D264" s="642"/>
      <c r="E264" s="654"/>
      <c r="F264" s="580"/>
      <c r="G264" s="580"/>
      <c r="H264" s="580"/>
      <c r="I264" s="643"/>
    </row>
    <row r="265" spans="3:9">
      <c r="C265" s="641"/>
      <c r="D265" s="642"/>
      <c r="E265" s="654"/>
      <c r="F265" s="580"/>
      <c r="G265" s="580"/>
      <c r="H265" s="580"/>
      <c r="I265" s="643"/>
    </row>
    <row r="266" spans="3:9">
      <c r="C266" s="641"/>
      <c r="D266" s="642"/>
      <c r="E266" s="654"/>
      <c r="F266" s="580"/>
      <c r="G266" s="580"/>
      <c r="H266" s="580"/>
      <c r="I266" s="643"/>
    </row>
    <row r="267" spans="3:9">
      <c r="C267" s="641"/>
      <c r="D267" s="642"/>
      <c r="E267" s="654"/>
      <c r="F267" s="580"/>
      <c r="G267" s="580"/>
      <c r="H267" s="580"/>
      <c r="I267" s="643"/>
    </row>
    <row r="268" spans="3:9">
      <c r="C268" s="641"/>
      <c r="D268" s="642"/>
      <c r="E268" s="654"/>
      <c r="F268" s="580"/>
      <c r="G268" s="580"/>
      <c r="H268" s="580"/>
      <c r="I268" s="643"/>
    </row>
    <row r="269" ht="13.5" spans="3:9">
      <c r="C269" s="644"/>
      <c r="D269" s="645"/>
      <c r="E269" s="655"/>
      <c r="F269" s="647"/>
      <c r="G269" s="647"/>
      <c r="H269" s="647"/>
      <c r="I269" s="648"/>
    </row>
    <row r="270" ht="15.75" spans="5:9">
      <c r="E270" s="652" t="s">
        <v>37</v>
      </c>
      <c r="F270" s="568">
        <f>SUM(F259:F269)</f>
        <v>0</v>
      </c>
      <c r="G270" s="568">
        <f>SUM(G259:G269)</f>
        <v>0</v>
      </c>
      <c r="H270" s="568">
        <f>SUM(H259:H269)</f>
        <v>0</v>
      </c>
      <c r="I270" s="568">
        <f>SUM(I259:I269)</f>
        <v>0</v>
      </c>
    </row>
    <row r="271"/>
    <row r="272" ht="15.75" spans="3:7">
      <c r="C272" s="650" t="s">
        <v>154</v>
      </c>
      <c r="D272" s="650"/>
      <c r="E272" s="651">
        <v>17</v>
      </c>
      <c r="F272" s="652" t="s">
        <v>155</v>
      </c>
      <c r="G272" s="651"/>
    </row>
    <row r="273" spans="3:9">
      <c r="C273" s="234" t="s">
        <v>157</v>
      </c>
      <c r="D273" s="259"/>
      <c r="E273" s="235"/>
      <c r="F273" s="653" t="s">
        <v>156</v>
      </c>
      <c r="G273" s="639" t="s">
        <v>151</v>
      </c>
      <c r="H273" s="639" t="s">
        <v>152</v>
      </c>
      <c r="I273" s="640" t="s">
        <v>153</v>
      </c>
    </row>
    <row r="274" spans="3:9">
      <c r="C274" s="641"/>
      <c r="D274" s="642"/>
      <c r="E274" s="654"/>
      <c r="F274" s="580"/>
      <c r="G274" s="580"/>
      <c r="H274" s="580"/>
      <c r="I274" s="643"/>
    </row>
    <row r="275" spans="3:9">
      <c r="C275" s="641"/>
      <c r="D275" s="642"/>
      <c r="E275" s="654"/>
      <c r="F275" s="580"/>
      <c r="G275" s="580"/>
      <c r="H275" s="580"/>
      <c r="I275" s="643"/>
    </row>
    <row r="276" spans="3:9">
      <c r="C276" s="641"/>
      <c r="D276" s="642"/>
      <c r="E276" s="654"/>
      <c r="F276" s="580"/>
      <c r="G276" s="580"/>
      <c r="H276" s="580"/>
      <c r="I276" s="643"/>
    </row>
    <row r="277" spans="3:9">
      <c r="C277" s="641"/>
      <c r="D277" s="642"/>
      <c r="E277" s="654"/>
      <c r="F277" s="580"/>
      <c r="G277" s="580"/>
      <c r="H277" s="580"/>
      <c r="I277" s="643"/>
    </row>
    <row r="278" spans="3:9">
      <c r="C278" s="641"/>
      <c r="D278" s="642"/>
      <c r="E278" s="654"/>
      <c r="F278" s="580"/>
      <c r="G278" s="580"/>
      <c r="H278" s="580"/>
      <c r="I278" s="643"/>
    </row>
    <row r="279" spans="3:9">
      <c r="C279" s="641"/>
      <c r="D279" s="642"/>
      <c r="E279" s="654"/>
      <c r="F279" s="580"/>
      <c r="G279" s="580"/>
      <c r="H279" s="580"/>
      <c r="I279" s="643"/>
    </row>
    <row r="280" spans="3:9">
      <c r="C280" s="641"/>
      <c r="D280" s="642"/>
      <c r="E280" s="654"/>
      <c r="F280" s="580"/>
      <c r="G280" s="580"/>
      <c r="H280" s="580"/>
      <c r="I280" s="643"/>
    </row>
    <row r="281" spans="3:9">
      <c r="C281" s="641"/>
      <c r="D281" s="642"/>
      <c r="E281" s="654"/>
      <c r="F281" s="580"/>
      <c r="G281" s="580"/>
      <c r="H281" s="580"/>
      <c r="I281" s="643"/>
    </row>
    <row r="282" spans="3:9">
      <c r="C282" s="641"/>
      <c r="D282" s="642"/>
      <c r="E282" s="654"/>
      <c r="F282" s="580"/>
      <c r="G282" s="580"/>
      <c r="H282" s="580"/>
      <c r="I282" s="643"/>
    </row>
    <row r="283" spans="3:9">
      <c r="C283" s="641"/>
      <c r="D283" s="642"/>
      <c r="E283" s="654"/>
      <c r="F283" s="580"/>
      <c r="G283" s="580"/>
      <c r="H283" s="580"/>
      <c r="I283" s="643"/>
    </row>
    <row r="284" ht="13.5" spans="3:9">
      <c r="C284" s="644"/>
      <c r="D284" s="645"/>
      <c r="E284" s="655"/>
      <c r="F284" s="647"/>
      <c r="G284" s="647"/>
      <c r="H284" s="647"/>
      <c r="I284" s="648"/>
    </row>
    <row r="285" ht="15.75" spans="5:9">
      <c r="E285" s="652" t="s">
        <v>37</v>
      </c>
      <c r="F285" s="568">
        <f>SUM(F274:F284)</f>
        <v>0</v>
      </c>
      <c r="G285" s="568">
        <f>SUM(G274:G284)</f>
        <v>0</v>
      </c>
      <c r="H285" s="568">
        <f>SUM(H274:H284)</f>
        <v>0</v>
      </c>
      <c r="I285" s="568">
        <f>SUM(I274:I284)</f>
        <v>0</v>
      </c>
    </row>
    <row r="286"/>
    <row r="287" ht="15.75" spans="3:7">
      <c r="C287" s="650" t="s">
        <v>154</v>
      </c>
      <c r="D287" s="650"/>
      <c r="E287" s="651">
        <v>18</v>
      </c>
      <c r="F287" s="652" t="s">
        <v>155</v>
      </c>
      <c r="G287" s="651"/>
    </row>
    <row r="288" spans="3:9">
      <c r="C288" s="234" t="s">
        <v>157</v>
      </c>
      <c r="D288" s="259"/>
      <c r="E288" s="235"/>
      <c r="F288" s="653" t="s">
        <v>156</v>
      </c>
      <c r="G288" s="639" t="s">
        <v>151</v>
      </c>
      <c r="H288" s="639" t="s">
        <v>152</v>
      </c>
      <c r="I288" s="640" t="s">
        <v>153</v>
      </c>
    </row>
    <row r="289" spans="3:9">
      <c r="C289" s="641"/>
      <c r="D289" s="642"/>
      <c r="E289" s="654"/>
      <c r="F289" s="580"/>
      <c r="G289" s="580"/>
      <c r="H289" s="580"/>
      <c r="I289" s="643"/>
    </row>
    <row r="290" spans="3:9">
      <c r="C290" s="641"/>
      <c r="D290" s="642"/>
      <c r="E290" s="654"/>
      <c r="F290" s="580"/>
      <c r="G290" s="580"/>
      <c r="H290" s="580"/>
      <c r="I290" s="643"/>
    </row>
    <row r="291" spans="3:9">
      <c r="C291" s="641"/>
      <c r="D291" s="642"/>
      <c r="E291" s="654"/>
      <c r="F291" s="580"/>
      <c r="G291" s="580"/>
      <c r="H291" s="580"/>
      <c r="I291" s="643"/>
    </row>
    <row r="292" spans="3:9">
      <c r="C292" s="641"/>
      <c r="D292" s="642"/>
      <c r="E292" s="654"/>
      <c r="F292" s="580"/>
      <c r="G292" s="580"/>
      <c r="H292" s="580"/>
      <c r="I292" s="643"/>
    </row>
    <row r="293" spans="3:9">
      <c r="C293" s="641"/>
      <c r="D293" s="642"/>
      <c r="E293" s="654"/>
      <c r="F293" s="580"/>
      <c r="G293" s="580"/>
      <c r="H293" s="580"/>
      <c r="I293" s="643"/>
    </row>
    <row r="294" spans="3:9">
      <c r="C294" s="641"/>
      <c r="D294" s="642"/>
      <c r="E294" s="654"/>
      <c r="F294" s="580"/>
      <c r="G294" s="580"/>
      <c r="H294" s="580"/>
      <c r="I294" s="643"/>
    </row>
    <row r="295" spans="3:9">
      <c r="C295" s="641"/>
      <c r="D295" s="642"/>
      <c r="E295" s="654"/>
      <c r="F295" s="580"/>
      <c r="G295" s="580"/>
      <c r="H295" s="580"/>
      <c r="I295" s="643"/>
    </row>
    <row r="296" spans="3:9">
      <c r="C296" s="641"/>
      <c r="D296" s="642"/>
      <c r="E296" s="654"/>
      <c r="F296" s="580"/>
      <c r="G296" s="580"/>
      <c r="H296" s="580"/>
      <c r="I296" s="643"/>
    </row>
    <row r="297" spans="3:9">
      <c r="C297" s="641"/>
      <c r="D297" s="642"/>
      <c r="E297" s="654"/>
      <c r="F297" s="580"/>
      <c r="G297" s="580"/>
      <c r="H297" s="580"/>
      <c r="I297" s="643"/>
    </row>
    <row r="298" spans="3:9">
      <c r="C298" s="641"/>
      <c r="D298" s="642"/>
      <c r="E298" s="654"/>
      <c r="F298" s="580"/>
      <c r="G298" s="580"/>
      <c r="H298" s="580"/>
      <c r="I298" s="643"/>
    </row>
    <row r="299" ht="13.5" spans="3:9">
      <c r="C299" s="644"/>
      <c r="D299" s="645"/>
      <c r="E299" s="655"/>
      <c r="F299" s="647"/>
      <c r="G299" s="647"/>
      <c r="H299" s="647"/>
      <c r="I299" s="648"/>
    </row>
    <row r="300" ht="15.75" spans="5:9">
      <c r="E300" s="652" t="s">
        <v>37</v>
      </c>
      <c r="F300" s="568">
        <f>SUM(F289:F299)</f>
        <v>0</v>
      </c>
      <c r="G300" s="568">
        <f>SUM(G289:G299)</f>
        <v>0</v>
      </c>
      <c r="H300" s="568">
        <f>SUM(H289:H299)</f>
        <v>0</v>
      </c>
      <c r="I300" s="568">
        <f>SUM(I289:I299)</f>
        <v>0</v>
      </c>
    </row>
    <row r="301"/>
    <row r="302" ht="15.75" spans="3:7">
      <c r="C302" s="650" t="s">
        <v>154</v>
      </c>
      <c r="D302" s="650"/>
      <c r="E302" s="651">
        <v>19</v>
      </c>
      <c r="F302" s="652" t="s">
        <v>155</v>
      </c>
      <c r="G302" s="651"/>
    </row>
    <row r="303" spans="3:9">
      <c r="C303" s="234" t="s">
        <v>157</v>
      </c>
      <c r="D303" s="259"/>
      <c r="E303" s="235"/>
      <c r="F303" s="653" t="s">
        <v>156</v>
      </c>
      <c r="G303" s="639" t="s">
        <v>151</v>
      </c>
      <c r="H303" s="639" t="s">
        <v>152</v>
      </c>
      <c r="I303" s="640" t="s">
        <v>153</v>
      </c>
    </row>
    <row r="304" spans="3:9">
      <c r="C304" s="641"/>
      <c r="D304" s="642"/>
      <c r="E304" s="654"/>
      <c r="F304" s="580"/>
      <c r="G304" s="580"/>
      <c r="H304" s="580"/>
      <c r="I304" s="643"/>
    </row>
    <row r="305" spans="3:9">
      <c r="C305" s="641"/>
      <c r="D305" s="642"/>
      <c r="E305" s="654"/>
      <c r="F305" s="580"/>
      <c r="G305" s="580"/>
      <c r="H305" s="580"/>
      <c r="I305" s="643"/>
    </row>
    <row r="306" spans="3:9">
      <c r="C306" s="641"/>
      <c r="D306" s="642"/>
      <c r="E306" s="654"/>
      <c r="F306" s="580"/>
      <c r="G306" s="580"/>
      <c r="H306" s="580"/>
      <c r="I306" s="643"/>
    </row>
    <row r="307" spans="3:9">
      <c r="C307" s="641"/>
      <c r="D307" s="642"/>
      <c r="E307" s="654"/>
      <c r="F307" s="580"/>
      <c r="G307" s="580"/>
      <c r="H307" s="580"/>
      <c r="I307" s="643"/>
    </row>
    <row r="308" spans="3:9">
      <c r="C308" s="641"/>
      <c r="D308" s="642"/>
      <c r="E308" s="654"/>
      <c r="F308" s="580"/>
      <c r="G308" s="580"/>
      <c r="H308" s="580"/>
      <c r="I308" s="643"/>
    </row>
    <row r="309" spans="3:9">
      <c r="C309" s="641"/>
      <c r="D309" s="642"/>
      <c r="E309" s="654"/>
      <c r="F309" s="580"/>
      <c r="G309" s="580"/>
      <c r="H309" s="580"/>
      <c r="I309" s="643"/>
    </row>
    <row r="310" spans="3:9">
      <c r="C310" s="641"/>
      <c r="D310" s="642"/>
      <c r="E310" s="654"/>
      <c r="F310" s="580"/>
      <c r="G310" s="580"/>
      <c r="H310" s="580"/>
      <c r="I310" s="643"/>
    </row>
    <row r="311" spans="3:9">
      <c r="C311" s="641"/>
      <c r="D311" s="642"/>
      <c r="E311" s="654"/>
      <c r="F311" s="580"/>
      <c r="G311" s="580"/>
      <c r="H311" s="580"/>
      <c r="I311" s="643"/>
    </row>
    <row r="312" spans="3:9">
      <c r="C312" s="641"/>
      <c r="D312" s="642"/>
      <c r="E312" s="654"/>
      <c r="F312" s="580"/>
      <c r="G312" s="580"/>
      <c r="H312" s="580"/>
      <c r="I312" s="643"/>
    </row>
    <row r="313" spans="3:9">
      <c r="C313" s="641"/>
      <c r="D313" s="642"/>
      <c r="E313" s="654"/>
      <c r="F313" s="580"/>
      <c r="G313" s="580"/>
      <c r="H313" s="580"/>
      <c r="I313" s="643"/>
    </row>
    <row r="314" ht="13.5" spans="3:9">
      <c r="C314" s="644"/>
      <c r="D314" s="645"/>
      <c r="E314" s="655"/>
      <c r="F314" s="647"/>
      <c r="G314" s="647"/>
      <c r="H314" s="647"/>
      <c r="I314" s="648"/>
    </row>
    <row r="315" ht="15.75" spans="5:9">
      <c r="E315" s="652" t="s">
        <v>37</v>
      </c>
      <c r="F315" s="568">
        <f>SUM(F304:F314)</f>
        <v>0</v>
      </c>
      <c r="G315" s="568">
        <f>SUM(G304:G314)</f>
        <v>0</v>
      </c>
      <c r="H315" s="568">
        <f>SUM(H304:H314)</f>
        <v>0</v>
      </c>
      <c r="I315" s="568">
        <f>SUM(I304:I314)</f>
        <v>0</v>
      </c>
    </row>
    <row r="316"/>
    <row r="317" ht="15.75" spans="3:7">
      <c r="C317" s="650" t="s">
        <v>154</v>
      </c>
      <c r="D317" s="650"/>
      <c r="E317" s="651">
        <v>20</v>
      </c>
      <c r="F317" s="652" t="s">
        <v>155</v>
      </c>
      <c r="G317" s="651"/>
    </row>
    <row r="318" spans="3:9">
      <c r="C318" s="234" t="s">
        <v>157</v>
      </c>
      <c r="D318" s="259"/>
      <c r="E318" s="235"/>
      <c r="F318" s="653" t="s">
        <v>156</v>
      </c>
      <c r="G318" s="639" t="s">
        <v>151</v>
      </c>
      <c r="H318" s="639" t="s">
        <v>152</v>
      </c>
      <c r="I318" s="640" t="s">
        <v>153</v>
      </c>
    </row>
    <row r="319" spans="3:9">
      <c r="C319" s="641"/>
      <c r="D319" s="642"/>
      <c r="E319" s="654"/>
      <c r="F319" s="580"/>
      <c r="G319" s="580"/>
      <c r="H319" s="580"/>
      <c r="I319" s="643"/>
    </row>
    <row r="320" spans="3:9">
      <c r="C320" s="641"/>
      <c r="D320" s="642"/>
      <c r="E320" s="654"/>
      <c r="F320" s="580"/>
      <c r="G320" s="580"/>
      <c r="H320" s="580"/>
      <c r="I320" s="643"/>
    </row>
    <row r="321" spans="3:9">
      <c r="C321" s="641"/>
      <c r="D321" s="642"/>
      <c r="E321" s="654"/>
      <c r="F321" s="580"/>
      <c r="G321" s="580"/>
      <c r="H321" s="580"/>
      <c r="I321" s="643"/>
    </row>
    <row r="322" spans="3:9">
      <c r="C322" s="641"/>
      <c r="D322" s="642"/>
      <c r="E322" s="654"/>
      <c r="F322" s="580"/>
      <c r="G322" s="580"/>
      <c r="H322" s="580"/>
      <c r="I322" s="643"/>
    </row>
    <row r="323" spans="3:9">
      <c r="C323" s="641"/>
      <c r="D323" s="642"/>
      <c r="E323" s="654"/>
      <c r="F323" s="580"/>
      <c r="G323" s="580"/>
      <c r="H323" s="580"/>
      <c r="I323" s="643"/>
    </row>
    <row r="324" spans="3:9">
      <c r="C324" s="641"/>
      <c r="D324" s="642"/>
      <c r="E324" s="654"/>
      <c r="F324" s="580"/>
      <c r="G324" s="580"/>
      <c r="H324" s="580"/>
      <c r="I324" s="643"/>
    </row>
    <row r="325" spans="3:9">
      <c r="C325" s="641"/>
      <c r="D325" s="642"/>
      <c r="E325" s="654"/>
      <c r="F325" s="580"/>
      <c r="G325" s="580"/>
      <c r="H325" s="580"/>
      <c r="I325" s="643"/>
    </row>
    <row r="326" spans="3:9">
      <c r="C326" s="641"/>
      <c r="D326" s="642"/>
      <c r="E326" s="654"/>
      <c r="F326" s="580"/>
      <c r="G326" s="580"/>
      <c r="H326" s="580"/>
      <c r="I326" s="643"/>
    </row>
    <row r="327" spans="3:9">
      <c r="C327" s="641"/>
      <c r="D327" s="642"/>
      <c r="E327" s="654"/>
      <c r="F327" s="580"/>
      <c r="G327" s="580"/>
      <c r="H327" s="580"/>
      <c r="I327" s="643"/>
    </row>
    <row r="328" spans="3:9">
      <c r="C328" s="641"/>
      <c r="D328" s="642"/>
      <c r="E328" s="654"/>
      <c r="F328" s="580"/>
      <c r="G328" s="580"/>
      <c r="H328" s="580"/>
      <c r="I328" s="643"/>
    </row>
    <row r="329" ht="13.5" spans="3:9">
      <c r="C329" s="644"/>
      <c r="D329" s="645"/>
      <c r="E329" s="655"/>
      <c r="F329" s="647"/>
      <c r="G329" s="647"/>
      <c r="H329" s="647"/>
      <c r="I329" s="648"/>
    </row>
    <row r="330" ht="15.75" spans="5:9">
      <c r="E330" s="652" t="s">
        <v>37</v>
      </c>
      <c r="F330" s="568">
        <f>SUM(F319:F329)</f>
        <v>0</v>
      </c>
      <c r="G330" s="568">
        <f>SUM(G319:G329)</f>
        <v>0</v>
      </c>
      <c r="H330" s="568">
        <f>SUM(H319:H329)</f>
        <v>0</v>
      </c>
      <c r="I330" s="568">
        <f>SUM(I319:I329)</f>
        <v>0</v>
      </c>
    </row>
    <row r="331"/>
    <row r="332" ht="15.75" spans="3:7">
      <c r="C332" s="650" t="s">
        <v>154</v>
      </c>
      <c r="D332" s="650"/>
      <c r="E332" s="651">
        <v>21</v>
      </c>
      <c r="F332" s="652" t="s">
        <v>155</v>
      </c>
      <c r="G332" s="651"/>
    </row>
    <row r="333" spans="3:9">
      <c r="C333" s="234" t="s">
        <v>157</v>
      </c>
      <c r="D333" s="259"/>
      <c r="E333" s="235"/>
      <c r="F333" s="653" t="s">
        <v>156</v>
      </c>
      <c r="G333" s="639" t="s">
        <v>151</v>
      </c>
      <c r="H333" s="639" t="s">
        <v>152</v>
      </c>
      <c r="I333" s="640" t="s">
        <v>153</v>
      </c>
    </row>
    <row r="334" spans="3:9">
      <c r="C334" s="641"/>
      <c r="D334" s="642"/>
      <c r="E334" s="654"/>
      <c r="F334" s="580"/>
      <c r="G334" s="580"/>
      <c r="H334" s="580"/>
      <c r="I334" s="643"/>
    </row>
    <row r="335" spans="3:9">
      <c r="C335" s="641"/>
      <c r="D335" s="642"/>
      <c r="E335" s="654"/>
      <c r="F335" s="580"/>
      <c r="G335" s="580"/>
      <c r="H335" s="580"/>
      <c r="I335" s="643"/>
    </row>
    <row r="336" spans="3:9">
      <c r="C336" s="641"/>
      <c r="D336" s="642"/>
      <c r="E336" s="654"/>
      <c r="F336" s="580"/>
      <c r="G336" s="580"/>
      <c r="H336" s="580"/>
      <c r="I336" s="643"/>
    </row>
    <row r="337" spans="3:9">
      <c r="C337" s="641"/>
      <c r="D337" s="642"/>
      <c r="E337" s="654"/>
      <c r="F337" s="580"/>
      <c r="G337" s="580"/>
      <c r="H337" s="580"/>
      <c r="I337" s="643"/>
    </row>
    <row r="338" spans="3:9">
      <c r="C338" s="641"/>
      <c r="D338" s="642"/>
      <c r="E338" s="654"/>
      <c r="F338" s="580"/>
      <c r="G338" s="580"/>
      <c r="H338" s="580"/>
      <c r="I338" s="643"/>
    </row>
    <row r="339" spans="3:9">
      <c r="C339" s="641"/>
      <c r="D339" s="642"/>
      <c r="E339" s="654"/>
      <c r="F339" s="580"/>
      <c r="G339" s="580"/>
      <c r="H339" s="580"/>
      <c r="I339" s="643"/>
    </row>
    <row r="340" spans="3:9">
      <c r="C340" s="641"/>
      <c r="D340" s="642"/>
      <c r="E340" s="654"/>
      <c r="F340" s="580"/>
      <c r="G340" s="580"/>
      <c r="H340" s="580"/>
      <c r="I340" s="643"/>
    </row>
    <row r="341" spans="3:9">
      <c r="C341" s="641"/>
      <c r="D341" s="642"/>
      <c r="E341" s="654"/>
      <c r="F341" s="580"/>
      <c r="G341" s="580"/>
      <c r="H341" s="580"/>
      <c r="I341" s="643"/>
    </row>
    <row r="342" spans="3:9">
      <c r="C342" s="641"/>
      <c r="D342" s="642"/>
      <c r="E342" s="654"/>
      <c r="F342" s="580"/>
      <c r="G342" s="580"/>
      <c r="H342" s="580"/>
      <c r="I342" s="643"/>
    </row>
    <row r="343" spans="3:9">
      <c r="C343" s="641"/>
      <c r="D343" s="642"/>
      <c r="E343" s="654"/>
      <c r="F343" s="580"/>
      <c r="G343" s="580"/>
      <c r="H343" s="580"/>
      <c r="I343" s="643"/>
    </row>
    <row r="344" ht="13.5" spans="3:9">
      <c r="C344" s="644"/>
      <c r="D344" s="645"/>
      <c r="E344" s="655"/>
      <c r="F344" s="647"/>
      <c r="G344" s="647"/>
      <c r="H344" s="647"/>
      <c r="I344" s="648"/>
    </row>
    <row r="345" ht="15.75" spans="5:9">
      <c r="E345" s="652" t="s">
        <v>37</v>
      </c>
      <c r="F345" s="568">
        <f>SUM(F334:F344)</f>
        <v>0</v>
      </c>
      <c r="G345" s="568">
        <f>SUM(G334:G344)</f>
        <v>0</v>
      </c>
      <c r="H345" s="568">
        <f>SUM(H334:H344)</f>
        <v>0</v>
      </c>
      <c r="I345" s="568">
        <f>SUM(I334:I344)</f>
        <v>0</v>
      </c>
    </row>
    <row r="346"/>
    <row r="347" ht="15.75" spans="3:7">
      <c r="C347" s="650" t="s">
        <v>154</v>
      </c>
      <c r="D347" s="650"/>
      <c r="E347" s="651">
        <v>22</v>
      </c>
      <c r="F347" s="652" t="s">
        <v>155</v>
      </c>
      <c r="G347" s="651"/>
    </row>
    <row r="348" spans="3:9">
      <c r="C348" s="234" t="s">
        <v>157</v>
      </c>
      <c r="D348" s="259"/>
      <c r="E348" s="235"/>
      <c r="F348" s="653" t="s">
        <v>156</v>
      </c>
      <c r="G348" s="639" t="s">
        <v>151</v>
      </c>
      <c r="H348" s="639" t="s">
        <v>152</v>
      </c>
      <c r="I348" s="640" t="s">
        <v>153</v>
      </c>
    </row>
    <row r="349" spans="3:9">
      <c r="C349" s="641"/>
      <c r="D349" s="642"/>
      <c r="E349" s="654"/>
      <c r="F349" s="580"/>
      <c r="G349" s="580"/>
      <c r="H349" s="580"/>
      <c r="I349" s="643"/>
    </row>
    <row r="350" spans="3:9">
      <c r="C350" s="641"/>
      <c r="D350" s="642"/>
      <c r="E350" s="654"/>
      <c r="F350" s="580"/>
      <c r="G350" s="580"/>
      <c r="H350" s="580"/>
      <c r="I350" s="643"/>
    </row>
    <row r="351" spans="3:9">
      <c r="C351" s="641"/>
      <c r="D351" s="642"/>
      <c r="E351" s="654"/>
      <c r="F351" s="580"/>
      <c r="G351" s="580"/>
      <c r="H351" s="580"/>
      <c r="I351" s="643"/>
    </row>
    <row r="352" spans="3:9">
      <c r="C352" s="641"/>
      <c r="D352" s="642"/>
      <c r="E352" s="654"/>
      <c r="F352" s="580"/>
      <c r="G352" s="580"/>
      <c r="H352" s="580"/>
      <c r="I352" s="643"/>
    </row>
    <row r="353" spans="3:9">
      <c r="C353" s="641"/>
      <c r="D353" s="642"/>
      <c r="E353" s="654"/>
      <c r="F353" s="580"/>
      <c r="G353" s="580"/>
      <c r="H353" s="580"/>
      <c r="I353" s="643"/>
    </row>
    <row r="354" spans="3:9">
      <c r="C354" s="641"/>
      <c r="D354" s="642"/>
      <c r="E354" s="654"/>
      <c r="F354" s="580"/>
      <c r="G354" s="580"/>
      <c r="H354" s="580"/>
      <c r="I354" s="643"/>
    </row>
    <row r="355" spans="3:9">
      <c r="C355" s="641"/>
      <c r="D355" s="642"/>
      <c r="E355" s="654"/>
      <c r="F355" s="580"/>
      <c r="G355" s="580"/>
      <c r="H355" s="580"/>
      <c r="I355" s="643"/>
    </row>
    <row r="356" spans="3:9">
      <c r="C356" s="641"/>
      <c r="D356" s="642"/>
      <c r="E356" s="654"/>
      <c r="F356" s="580"/>
      <c r="G356" s="580"/>
      <c r="H356" s="580"/>
      <c r="I356" s="643"/>
    </row>
    <row r="357" spans="3:9">
      <c r="C357" s="641"/>
      <c r="D357" s="642"/>
      <c r="E357" s="654"/>
      <c r="F357" s="580"/>
      <c r="G357" s="580"/>
      <c r="H357" s="580"/>
      <c r="I357" s="643"/>
    </row>
    <row r="358" spans="3:9">
      <c r="C358" s="641"/>
      <c r="D358" s="642"/>
      <c r="E358" s="654"/>
      <c r="F358" s="580"/>
      <c r="G358" s="580"/>
      <c r="H358" s="580"/>
      <c r="I358" s="643"/>
    </row>
    <row r="359" ht="13.5" spans="3:9">
      <c r="C359" s="644"/>
      <c r="D359" s="645"/>
      <c r="E359" s="655"/>
      <c r="F359" s="647"/>
      <c r="G359" s="647"/>
      <c r="H359" s="647"/>
      <c r="I359" s="648"/>
    </row>
    <row r="360" ht="15.75" spans="5:9">
      <c r="E360" s="652" t="s">
        <v>37</v>
      </c>
      <c r="F360" s="568">
        <f>SUM(F349:F359)</f>
        <v>0</v>
      </c>
      <c r="G360" s="568">
        <f>SUM(G349:G359)</f>
        <v>0</v>
      </c>
      <c r="H360" s="568">
        <f>SUM(H349:H359)</f>
        <v>0</v>
      </c>
      <c r="I360" s="568">
        <f>SUM(I349:I359)</f>
        <v>0</v>
      </c>
    </row>
    <row r="361"/>
    <row r="362" ht="15.75" spans="3:7">
      <c r="C362" s="650" t="s">
        <v>154</v>
      </c>
      <c r="D362" s="650"/>
      <c r="E362" s="651">
        <v>23</v>
      </c>
      <c r="F362" s="652" t="s">
        <v>155</v>
      </c>
      <c r="G362" s="651"/>
    </row>
    <row r="363" spans="3:9">
      <c r="C363" s="234" t="s">
        <v>157</v>
      </c>
      <c r="D363" s="259"/>
      <c r="E363" s="235"/>
      <c r="F363" s="653" t="s">
        <v>156</v>
      </c>
      <c r="G363" s="639" t="s">
        <v>151</v>
      </c>
      <c r="H363" s="639" t="s">
        <v>152</v>
      </c>
      <c r="I363" s="640" t="s">
        <v>153</v>
      </c>
    </row>
    <row r="364" spans="3:9">
      <c r="C364" s="641"/>
      <c r="D364" s="642"/>
      <c r="E364" s="654"/>
      <c r="F364" s="580"/>
      <c r="G364" s="580"/>
      <c r="H364" s="580"/>
      <c r="I364" s="643"/>
    </row>
    <row r="365" spans="3:9">
      <c r="C365" s="641"/>
      <c r="D365" s="642"/>
      <c r="E365" s="654"/>
      <c r="F365" s="580"/>
      <c r="G365" s="580"/>
      <c r="H365" s="580"/>
      <c r="I365" s="643"/>
    </row>
    <row r="366" spans="3:9">
      <c r="C366" s="641"/>
      <c r="D366" s="642"/>
      <c r="E366" s="654"/>
      <c r="F366" s="580"/>
      <c r="G366" s="580"/>
      <c r="H366" s="580"/>
      <c r="I366" s="643"/>
    </row>
    <row r="367" spans="3:9">
      <c r="C367" s="641"/>
      <c r="D367" s="642"/>
      <c r="E367" s="654"/>
      <c r="F367" s="580"/>
      <c r="G367" s="580"/>
      <c r="H367" s="580"/>
      <c r="I367" s="643"/>
    </row>
    <row r="368" spans="3:9">
      <c r="C368" s="641"/>
      <c r="D368" s="642"/>
      <c r="E368" s="654"/>
      <c r="F368" s="580"/>
      <c r="G368" s="580"/>
      <c r="H368" s="580"/>
      <c r="I368" s="643"/>
    </row>
    <row r="369" spans="3:9">
      <c r="C369" s="641"/>
      <c r="D369" s="642"/>
      <c r="E369" s="654"/>
      <c r="F369" s="580"/>
      <c r="G369" s="580"/>
      <c r="H369" s="580"/>
      <c r="I369" s="643"/>
    </row>
    <row r="370" spans="3:9">
      <c r="C370" s="641"/>
      <c r="D370" s="642"/>
      <c r="E370" s="654"/>
      <c r="F370" s="580"/>
      <c r="G370" s="580"/>
      <c r="H370" s="580"/>
      <c r="I370" s="643"/>
    </row>
    <row r="371" spans="3:9">
      <c r="C371" s="641"/>
      <c r="D371" s="642"/>
      <c r="E371" s="654"/>
      <c r="F371" s="580"/>
      <c r="G371" s="580"/>
      <c r="H371" s="580"/>
      <c r="I371" s="643"/>
    </row>
    <row r="372" spans="3:9">
      <c r="C372" s="641"/>
      <c r="D372" s="642"/>
      <c r="E372" s="654"/>
      <c r="F372" s="580"/>
      <c r="G372" s="580"/>
      <c r="H372" s="580"/>
      <c r="I372" s="643"/>
    </row>
    <row r="373" spans="3:9">
      <c r="C373" s="641"/>
      <c r="D373" s="642"/>
      <c r="E373" s="654"/>
      <c r="F373" s="580"/>
      <c r="G373" s="580"/>
      <c r="H373" s="580"/>
      <c r="I373" s="643"/>
    </row>
    <row r="374" ht="13.5" spans="3:9">
      <c r="C374" s="644"/>
      <c r="D374" s="645"/>
      <c r="E374" s="655"/>
      <c r="F374" s="647"/>
      <c r="G374" s="647"/>
      <c r="H374" s="647"/>
      <c r="I374" s="648"/>
    </row>
    <row r="375" ht="15.75" spans="5:9">
      <c r="E375" s="652" t="s">
        <v>37</v>
      </c>
      <c r="F375" s="568">
        <f>SUM(F364:F374)</f>
        <v>0</v>
      </c>
      <c r="G375" s="568">
        <f>SUM(G364:G374)</f>
        <v>0</v>
      </c>
      <c r="H375" s="568">
        <f>SUM(H364:H374)</f>
        <v>0</v>
      </c>
      <c r="I375" s="568">
        <f>SUM(I364:I374)</f>
        <v>0</v>
      </c>
    </row>
    <row r="376"/>
    <row r="377" ht="15.75" spans="3:7">
      <c r="C377" s="650" t="s">
        <v>154</v>
      </c>
      <c r="D377" s="650"/>
      <c r="E377" s="651">
        <v>24</v>
      </c>
      <c r="F377" s="652" t="s">
        <v>155</v>
      </c>
      <c r="G377" s="651"/>
    </row>
    <row r="378" spans="3:9">
      <c r="C378" s="234" t="s">
        <v>157</v>
      </c>
      <c r="D378" s="259"/>
      <c r="E378" s="235"/>
      <c r="F378" s="653" t="s">
        <v>156</v>
      </c>
      <c r="G378" s="639" t="s">
        <v>151</v>
      </c>
      <c r="H378" s="639" t="s">
        <v>152</v>
      </c>
      <c r="I378" s="640" t="s">
        <v>153</v>
      </c>
    </row>
    <row r="379" spans="3:9">
      <c r="C379" s="641"/>
      <c r="D379" s="642"/>
      <c r="E379" s="654"/>
      <c r="F379" s="580"/>
      <c r="G379" s="580"/>
      <c r="H379" s="580"/>
      <c r="I379" s="643"/>
    </row>
    <row r="380" spans="3:9">
      <c r="C380" s="641"/>
      <c r="D380" s="642"/>
      <c r="E380" s="654"/>
      <c r="F380" s="580"/>
      <c r="G380" s="580"/>
      <c r="H380" s="580"/>
      <c r="I380" s="643"/>
    </row>
    <row r="381" spans="3:9">
      <c r="C381" s="641"/>
      <c r="D381" s="642"/>
      <c r="E381" s="654"/>
      <c r="F381" s="580"/>
      <c r="G381" s="580"/>
      <c r="H381" s="580"/>
      <c r="I381" s="643"/>
    </row>
    <row r="382" spans="3:9">
      <c r="C382" s="641"/>
      <c r="D382" s="642"/>
      <c r="E382" s="654"/>
      <c r="F382" s="580"/>
      <c r="G382" s="580"/>
      <c r="H382" s="580"/>
      <c r="I382" s="643"/>
    </row>
    <row r="383" spans="3:9">
      <c r="C383" s="641"/>
      <c r="D383" s="642"/>
      <c r="E383" s="654"/>
      <c r="F383" s="580"/>
      <c r="G383" s="580"/>
      <c r="H383" s="580"/>
      <c r="I383" s="643"/>
    </row>
    <row r="384" spans="3:9">
      <c r="C384" s="641"/>
      <c r="D384" s="642"/>
      <c r="E384" s="654"/>
      <c r="F384" s="580"/>
      <c r="G384" s="580"/>
      <c r="H384" s="580"/>
      <c r="I384" s="643"/>
    </row>
    <row r="385" spans="3:9">
      <c r="C385" s="641"/>
      <c r="D385" s="642"/>
      <c r="E385" s="654"/>
      <c r="F385" s="580"/>
      <c r="G385" s="580"/>
      <c r="H385" s="580"/>
      <c r="I385" s="643"/>
    </row>
    <row r="386" spans="3:9">
      <c r="C386" s="641"/>
      <c r="D386" s="642"/>
      <c r="E386" s="654"/>
      <c r="F386" s="580"/>
      <c r="G386" s="580"/>
      <c r="H386" s="580"/>
      <c r="I386" s="643"/>
    </row>
    <row r="387" spans="3:9">
      <c r="C387" s="641"/>
      <c r="D387" s="642"/>
      <c r="E387" s="654"/>
      <c r="F387" s="580"/>
      <c r="G387" s="580"/>
      <c r="H387" s="580"/>
      <c r="I387" s="643"/>
    </row>
    <row r="388" spans="3:9">
      <c r="C388" s="641"/>
      <c r="D388" s="642"/>
      <c r="E388" s="654"/>
      <c r="F388" s="580"/>
      <c r="G388" s="580"/>
      <c r="H388" s="580"/>
      <c r="I388" s="643"/>
    </row>
    <row r="389" ht="13.5" spans="3:9">
      <c r="C389" s="644"/>
      <c r="D389" s="645"/>
      <c r="E389" s="655"/>
      <c r="F389" s="647"/>
      <c r="G389" s="647"/>
      <c r="H389" s="647"/>
      <c r="I389" s="648"/>
    </row>
    <row r="390" ht="15.75" spans="5:9">
      <c r="E390" s="652" t="s">
        <v>37</v>
      </c>
      <c r="F390" s="568">
        <f>SUM(F379:F389)</f>
        <v>0</v>
      </c>
      <c r="G390" s="568">
        <f>SUM(G379:G389)</f>
        <v>0</v>
      </c>
      <c r="H390" s="568">
        <f>SUM(H379:H389)</f>
        <v>0</v>
      </c>
      <c r="I390" s="568">
        <f>SUM(I379:I389)</f>
        <v>0</v>
      </c>
    </row>
    <row r="391"/>
    <row r="392" ht="15.75" spans="3:7">
      <c r="C392" s="650" t="s">
        <v>154</v>
      </c>
      <c r="D392" s="650"/>
      <c r="E392" s="651">
        <v>25</v>
      </c>
      <c r="F392" s="652" t="s">
        <v>155</v>
      </c>
      <c r="G392" s="651"/>
    </row>
    <row r="393" spans="3:9">
      <c r="C393" s="234" t="s">
        <v>157</v>
      </c>
      <c r="D393" s="259"/>
      <c r="E393" s="235"/>
      <c r="F393" s="653" t="s">
        <v>156</v>
      </c>
      <c r="G393" s="639" t="s">
        <v>151</v>
      </c>
      <c r="H393" s="639" t="s">
        <v>152</v>
      </c>
      <c r="I393" s="640" t="s">
        <v>153</v>
      </c>
    </row>
    <row r="394" spans="3:9">
      <c r="C394" s="641"/>
      <c r="D394" s="642"/>
      <c r="E394" s="654"/>
      <c r="F394" s="580"/>
      <c r="G394" s="580"/>
      <c r="H394" s="580"/>
      <c r="I394" s="643"/>
    </row>
    <row r="395" spans="3:9">
      <c r="C395" s="641"/>
      <c r="D395" s="642"/>
      <c r="E395" s="654"/>
      <c r="F395" s="580"/>
      <c r="G395" s="580"/>
      <c r="H395" s="580"/>
      <c r="I395" s="643"/>
    </row>
    <row r="396" spans="3:9">
      <c r="C396" s="641"/>
      <c r="D396" s="642"/>
      <c r="E396" s="654"/>
      <c r="F396" s="580"/>
      <c r="G396" s="580"/>
      <c r="H396" s="580"/>
      <c r="I396" s="643"/>
    </row>
    <row r="397" spans="3:9">
      <c r="C397" s="641"/>
      <c r="D397" s="642"/>
      <c r="E397" s="654"/>
      <c r="F397" s="580"/>
      <c r="G397" s="580"/>
      <c r="H397" s="580"/>
      <c r="I397" s="643"/>
    </row>
    <row r="398" spans="3:9">
      <c r="C398" s="641"/>
      <c r="D398" s="642"/>
      <c r="E398" s="654"/>
      <c r="F398" s="580"/>
      <c r="G398" s="580"/>
      <c r="H398" s="580"/>
      <c r="I398" s="643"/>
    </row>
    <row r="399" spans="3:9">
      <c r="C399" s="641"/>
      <c r="D399" s="642"/>
      <c r="E399" s="654"/>
      <c r="F399" s="580"/>
      <c r="G399" s="580"/>
      <c r="H399" s="580"/>
      <c r="I399" s="643"/>
    </row>
    <row r="400" spans="3:9">
      <c r="C400" s="641"/>
      <c r="D400" s="642"/>
      <c r="E400" s="654"/>
      <c r="F400" s="580"/>
      <c r="G400" s="580"/>
      <c r="H400" s="580"/>
      <c r="I400" s="643"/>
    </row>
    <row r="401" spans="3:9">
      <c r="C401" s="641"/>
      <c r="D401" s="642"/>
      <c r="E401" s="654"/>
      <c r="F401" s="580"/>
      <c r="G401" s="580"/>
      <c r="H401" s="580"/>
      <c r="I401" s="643"/>
    </row>
    <row r="402" spans="3:9">
      <c r="C402" s="641"/>
      <c r="D402" s="642"/>
      <c r="E402" s="654"/>
      <c r="F402" s="580"/>
      <c r="G402" s="580"/>
      <c r="H402" s="580"/>
      <c r="I402" s="643"/>
    </row>
    <row r="403" spans="3:9">
      <c r="C403" s="641"/>
      <c r="D403" s="642"/>
      <c r="E403" s="654"/>
      <c r="F403" s="580"/>
      <c r="G403" s="580"/>
      <c r="H403" s="580"/>
      <c r="I403" s="643"/>
    </row>
    <row r="404" ht="13.5" spans="3:9">
      <c r="C404" s="644"/>
      <c r="D404" s="645"/>
      <c r="E404" s="655"/>
      <c r="F404" s="647"/>
      <c r="G404" s="647"/>
      <c r="H404" s="647"/>
      <c r="I404" s="648"/>
    </row>
    <row r="405" ht="15.75" spans="5:9">
      <c r="E405" s="652" t="s">
        <v>37</v>
      </c>
      <c r="F405" s="568">
        <f>SUM(F394:F404)</f>
        <v>0</v>
      </c>
      <c r="G405" s="568">
        <f>SUM(G394:G404)</f>
        <v>0</v>
      </c>
      <c r="H405" s="568">
        <f>SUM(H394:H404)</f>
        <v>0</v>
      </c>
      <c r="I405" s="568">
        <f>SUM(I394:I404)</f>
        <v>0</v>
      </c>
    </row>
    <row r="406"/>
    <row r="407"/>
  </sheetData>
  <sheetProtection password="83CC" sheet="1" objects="1" scenarios="1"/>
  <mergeCells count="359">
    <mergeCell ref="C5:G5"/>
    <mergeCell ref="C6:F6"/>
    <mergeCell ref="C7:F7"/>
    <mergeCell ref="C8:F8"/>
    <mergeCell ref="C9:F9"/>
    <mergeCell ref="C10:F10"/>
    <mergeCell ref="C11:F11"/>
    <mergeCell ref="C12:F12"/>
    <mergeCell ref="C13:F13"/>
    <mergeCell ref="C14:F14"/>
    <mergeCell ref="C17:D17"/>
    <mergeCell ref="C18:D18"/>
    <mergeCell ref="C19:D19"/>
    <mergeCell ref="C20:D20"/>
    <mergeCell ref="C21:D21"/>
    <mergeCell ref="C22:D22"/>
    <mergeCell ref="C23:D23"/>
    <mergeCell ref="C24:D24"/>
    <mergeCell ref="C25:D25"/>
    <mergeCell ref="C26:D26"/>
    <mergeCell ref="C27:D27"/>
    <mergeCell ref="C28:D28"/>
    <mergeCell ref="C29:D29"/>
    <mergeCell ref="C32:D32"/>
    <mergeCell ref="K32:O32"/>
    <mergeCell ref="C33:E33"/>
    <mergeCell ref="C34:E34"/>
    <mergeCell ref="C35:E35"/>
    <mergeCell ref="C36:E36"/>
    <mergeCell ref="C37:E37"/>
    <mergeCell ref="C38:E38"/>
    <mergeCell ref="C39:E39"/>
    <mergeCell ref="C40:E40"/>
    <mergeCell ref="C41:E41"/>
    <mergeCell ref="C42:E42"/>
    <mergeCell ref="C43:E43"/>
    <mergeCell ref="C44:E44"/>
    <mergeCell ref="C47:D47"/>
    <mergeCell ref="C48:E48"/>
    <mergeCell ref="C49:E49"/>
    <mergeCell ref="C50:E50"/>
    <mergeCell ref="C51:E51"/>
    <mergeCell ref="C52:E52"/>
    <mergeCell ref="C53:E53"/>
    <mergeCell ref="C54:E54"/>
    <mergeCell ref="C55:E55"/>
    <mergeCell ref="C56:E56"/>
    <mergeCell ref="C57:E57"/>
    <mergeCell ref="C58:E58"/>
    <mergeCell ref="C59:E59"/>
    <mergeCell ref="C62:D62"/>
    <mergeCell ref="C63:E63"/>
    <mergeCell ref="C64:E64"/>
    <mergeCell ref="C65:E65"/>
    <mergeCell ref="C66:E66"/>
    <mergeCell ref="C67:E67"/>
    <mergeCell ref="C68:E68"/>
    <mergeCell ref="C69:E69"/>
    <mergeCell ref="C70:E70"/>
    <mergeCell ref="K70:N70"/>
    <mergeCell ref="C71:E71"/>
    <mergeCell ref="C72:E72"/>
    <mergeCell ref="K72:N72"/>
    <mergeCell ref="C73:E73"/>
    <mergeCell ref="K73:N73"/>
    <mergeCell ref="C74:E74"/>
    <mergeCell ref="K74:N74"/>
    <mergeCell ref="C77:D77"/>
    <mergeCell ref="C78:E78"/>
    <mergeCell ref="C79:E79"/>
    <mergeCell ref="C80:E80"/>
    <mergeCell ref="C81:E81"/>
    <mergeCell ref="C82:E82"/>
    <mergeCell ref="C83:E83"/>
    <mergeCell ref="C84:E84"/>
    <mergeCell ref="C85:E85"/>
    <mergeCell ref="C86:E86"/>
    <mergeCell ref="C87:E87"/>
    <mergeCell ref="C88:E88"/>
    <mergeCell ref="C89:E89"/>
    <mergeCell ref="C92:D92"/>
    <mergeCell ref="C93:E93"/>
    <mergeCell ref="C94:E94"/>
    <mergeCell ref="C95:E95"/>
    <mergeCell ref="C96:E96"/>
    <mergeCell ref="C97:E97"/>
    <mergeCell ref="C98:E98"/>
    <mergeCell ref="C99:E99"/>
    <mergeCell ref="C100:E100"/>
    <mergeCell ref="C101:E101"/>
    <mergeCell ref="C102:E102"/>
    <mergeCell ref="C103:E103"/>
    <mergeCell ref="C104:E104"/>
    <mergeCell ref="C107:D107"/>
    <mergeCell ref="C108:E108"/>
    <mergeCell ref="C109:E109"/>
    <mergeCell ref="C110:E110"/>
    <mergeCell ref="C111:E111"/>
    <mergeCell ref="C112:E112"/>
    <mergeCell ref="C113:E113"/>
    <mergeCell ref="C114:E114"/>
    <mergeCell ref="C115:E115"/>
    <mergeCell ref="C116:E116"/>
    <mergeCell ref="C117:E117"/>
    <mergeCell ref="C118:E118"/>
    <mergeCell ref="C119:E119"/>
    <mergeCell ref="C122:D122"/>
    <mergeCell ref="C123:E123"/>
    <mergeCell ref="C124:E124"/>
    <mergeCell ref="C125:E125"/>
    <mergeCell ref="C126:E126"/>
    <mergeCell ref="C127:E127"/>
    <mergeCell ref="C128:E128"/>
    <mergeCell ref="C129:E129"/>
    <mergeCell ref="C130:E130"/>
    <mergeCell ref="C131:E131"/>
    <mergeCell ref="C132:E132"/>
    <mergeCell ref="C133:E133"/>
    <mergeCell ref="C134:E134"/>
    <mergeCell ref="C137:D137"/>
    <mergeCell ref="C138:E138"/>
    <mergeCell ref="C139:E139"/>
    <mergeCell ref="C140:E140"/>
    <mergeCell ref="C141:E141"/>
    <mergeCell ref="C142:E142"/>
    <mergeCell ref="C143:E143"/>
    <mergeCell ref="C144:E144"/>
    <mergeCell ref="C145:E145"/>
    <mergeCell ref="C146:E146"/>
    <mergeCell ref="C147:E147"/>
    <mergeCell ref="C148:E148"/>
    <mergeCell ref="C149:E149"/>
    <mergeCell ref="C152:D152"/>
    <mergeCell ref="C153:E153"/>
    <mergeCell ref="C154:E154"/>
    <mergeCell ref="C155:E155"/>
    <mergeCell ref="C156:E156"/>
    <mergeCell ref="C157:E157"/>
    <mergeCell ref="C158:E158"/>
    <mergeCell ref="C159:E159"/>
    <mergeCell ref="C160:E160"/>
    <mergeCell ref="C161:E161"/>
    <mergeCell ref="C162:E162"/>
    <mergeCell ref="C163:E163"/>
    <mergeCell ref="C164:E164"/>
    <mergeCell ref="C167:D167"/>
    <mergeCell ref="C168:E168"/>
    <mergeCell ref="C169:E169"/>
    <mergeCell ref="C170:E170"/>
    <mergeCell ref="C171:E171"/>
    <mergeCell ref="C172:E172"/>
    <mergeCell ref="C173:E173"/>
    <mergeCell ref="C174:E174"/>
    <mergeCell ref="C175:E175"/>
    <mergeCell ref="C176:E176"/>
    <mergeCell ref="C177:E177"/>
    <mergeCell ref="C178:E178"/>
    <mergeCell ref="C179:E179"/>
    <mergeCell ref="C182:D182"/>
    <mergeCell ref="C183:E183"/>
    <mergeCell ref="C184:E184"/>
    <mergeCell ref="C185:E185"/>
    <mergeCell ref="C186:E186"/>
    <mergeCell ref="C187:E187"/>
    <mergeCell ref="C188:E188"/>
    <mergeCell ref="C189:E189"/>
    <mergeCell ref="C190:E190"/>
    <mergeCell ref="C191:E191"/>
    <mergeCell ref="C192:E192"/>
    <mergeCell ref="C193:E193"/>
    <mergeCell ref="C194:E194"/>
    <mergeCell ref="C197:D197"/>
    <mergeCell ref="C198:E198"/>
    <mergeCell ref="C199:E199"/>
    <mergeCell ref="C200:E200"/>
    <mergeCell ref="C201:E201"/>
    <mergeCell ref="C202:E202"/>
    <mergeCell ref="C203:E203"/>
    <mergeCell ref="C204:E204"/>
    <mergeCell ref="C205:E205"/>
    <mergeCell ref="C206:E206"/>
    <mergeCell ref="C207:E207"/>
    <mergeCell ref="C208:E208"/>
    <mergeCell ref="C209:E209"/>
    <mergeCell ref="C212:D212"/>
    <mergeCell ref="C213:E213"/>
    <mergeCell ref="C214:E214"/>
    <mergeCell ref="C215:E215"/>
    <mergeCell ref="C216:E216"/>
    <mergeCell ref="C217:E217"/>
    <mergeCell ref="C218:E218"/>
    <mergeCell ref="C219:E219"/>
    <mergeCell ref="C220:E220"/>
    <mergeCell ref="C221:E221"/>
    <mergeCell ref="C222:E222"/>
    <mergeCell ref="C223:E223"/>
    <mergeCell ref="C224:E224"/>
    <mergeCell ref="C227:D227"/>
    <mergeCell ref="C228:E228"/>
    <mergeCell ref="C229:E229"/>
    <mergeCell ref="C230:E230"/>
    <mergeCell ref="C231:E231"/>
    <mergeCell ref="C232:E232"/>
    <mergeCell ref="C233:E233"/>
    <mergeCell ref="C234:E234"/>
    <mergeCell ref="C235:E235"/>
    <mergeCell ref="C236:E236"/>
    <mergeCell ref="C237:E237"/>
    <mergeCell ref="C238:E238"/>
    <mergeCell ref="C239:E239"/>
    <mergeCell ref="C242:D242"/>
    <mergeCell ref="C243:E243"/>
    <mergeCell ref="C244:E244"/>
    <mergeCell ref="C245:E245"/>
    <mergeCell ref="C246:E246"/>
    <mergeCell ref="C247:E247"/>
    <mergeCell ref="C248:E248"/>
    <mergeCell ref="C249:E249"/>
    <mergeCell ref="C250:E250"/>
    <mergeCell ref="C251:E251"/>
    <mergeCell ref="C252:E252"/>
    <mergeCell ref="C253:E253"/>
    <mergeCell ref="C254:E254"/>
    <mergeCell ref="C257:D257"/>
    <mergeCell ref="C258:E258"/>
    <mergeCell ref="C259:E259"/>
    <mergeCell ref="C260:E260"/>
    <mergeCell ref="C261:E261"/>
    <mergeCell ref="C262:E262"/>
    <mergeCell ref="C263:E263"/>
    <mergeCell ref="C264:E264"/>
    <mergeCell ref="C265:E265"/>
    <mergeCell ref="C266:E266"/>
    <mergeCell ref="C267:E267"/>
    <mergeCell ref="C268:E268"/>
    <mergeCell ref="C269:E269"/>
    <mergeCell ref="C272:D272"/>
    <mergeCell ref="C273:E273"/>
    <mergeCell ref="C274:E274"/>
    <mergeCell ref="C275:E275"/>
    <mergeCell ref="C276:E276"/>
    <mergeCell ref="C277:E277"/>
    <mergeCell ref="C278:E278"/>
    <mergeCell ref="C279:E279"/>
    <mergeCell ref="C280:E280"/>
    <mergeCell ref="C281:E281"/>
    <mergeCell ref="C282:E282"/>
    <mergeCell ref="C283:E283"/>
    <mergeCell ref="C284:E284"/>
    <mergeCell ref="C287:D287"/>
    <mergeCell ref="C288:E288"/>
    <mergeCell ref="C289:E289"/>
    <mergeCell ref="C290:E290"/>
    <mergeCell ref="C291:E291"/>
    <mergeCell ref="C292:E292"/>
    <mergeCell ref="C293:E293"/>
    <mergeCell ref="C294:E294"/>
    <mergeCell ref="C295:E295"/>
    <mergeCell ref="C296:E296"/>
    <mergeCell ref="C297:E297"/>
    <mergeCell ref="C298:E298"/>
    <mergeCell ref="C299:E299"/>
    <mergeCell ref="C302:D302"/>
    <mergeCell ref="C303:E303"/>
    <mergeCell ref="C304:E304"/>
    <mergeCell ref="C305:E305"/>
    <mergeCell ref="C306:E306"/>
    <mergeCell ref="C307:E307"/>
    <mergeCell ref="C308:E308"/>
    <mergeCell ref="C309:E309"/>
    <mergeCell ref="C310:E310"/>
    <mergeCell ref="C311:E311"/>
    <mergeCell ref="C312:E312"/>
    <mergeCell ref="C313:E313"/>
    <mergeCell ref="C314:E314"/>
    <mergeCell ref="C317:D317"/>
    <mergeCell ref="C318:E318"/>
    <mergeCell ref="C319:E319"/>
    <mergeCell ref="C320:E320"/>
    <mergeCell ref="C321:E321"/>
    <mergeCell ref="C322:E322"/>
    <mergeCell ref="C323:E323"/>
    <mergeCell ref="C324:E324"/>
    <mergeCell ref="C325:E325"/>
    <mergeCell ref="C326:E326"/>
    <mergeCell ref="C327:E327"/>
    <mergeCell ref="C328:E328"/>
    <mergeCell ref="C329:E329"/>
    <mergeCell ref="C332:D332"/>
    <mergeCell ref="C333:E333"/>
    <mergeCell ref="C334:E334"/>
    <mergeCell ref="C335:E335"/>
    <mergeCell ref="C336:E336"/>
    <mergeCell ref="C337:E337"/>
    <mergeCell ref="C338:E338"/>
    <mergeCell ref="C339:E339"/>
    <mergeCell ref="C340:E340"/>
    <mergeCell ref="C341:E341"/>
    <mergeCell ref="C342:E342"/>
    <mergeCell ref="C343:E343"/>
    <mergeCell ref="C344:E344"/>
    <mergeCell ref="C347:D347"/>
    <mergeCell ref="C348:E348"/>
    <mergeCell ref="C349:E349"/>
    <mergeCell ref="C350:E350"/>
    <mergeCell ref="C351:E351"/>
    <mergeCell ref="C352:E352"/>
    <mergeCell ref="C353:E353"/>
    <mergeCell ref="C354:E354"/>
    <mergeCell ref="C355:E355"/>
    <mergeCell ref="C356:E356"/>
    <mergeCell ref="C357:E357"/>
    <mergeCell ref="C358:E358"/>
    <mergeCell ref="C359:E359"/>
    <mergeCell ref="C362:D362"/>
    <mergeCell ref="C363:E363"/>
    <mergeCell ref="C364:E364"/>
    <mergeCell ref="C365:E365"/>
    <mergeCell ref="C366:E366"/>
    <mergeCell ref="C367:E367"/>
    <mergeCell ref="C368:E368"/>
    <mergeCell ref="C369:E369"/>
    <mergeCell ref="C370:E370"/>
    <mergeCell ref="C371:E371"/>
    <mergeCell ref="C372:E372"/>
    <mergeCell ref="C373:E373"/>
    <mergeCell ref="C374:E374"/>
    <mergeCell ref="C377:D377"/>
    <mergeCell ref="C378:E378"/>
    <mergeCell ref="C379:E379"/>
    <mergeCell ref="C380:E380"/>
    <mergeCell ref="C381:E381"/>
    <mergeCell ref="C382:E382"/>
    <mergeCell ref="C383:E383"/>
    <mergeCell ref="C384:E384"/>
    <mergeCell ref="C385:E385"/>
    <mergeCell ref="C386:E386"/>
    <mergeCell ref="C387:E387"/>
    <mergeCell ref="C388:E388"/>
    <mergeCell ref="C389:E389"/>
    <mergeCell ref="C392:D392"/>
    <mergeCell ref="C393:E393"/>
    <mergeCell ref="C394:E394"/>
    <mergeCell ref="C395:E395"/>
    <mergeCell ref="C396:E396"/>
    <mergeCell ref="C397:E397"/>
    <mergeCell ref="C398:E398"/>
    <mergeCell ref="C399:E399"/>
    <mergeCell ref="C400:E400"/>
    <mergeCell ref="C401:E401"/>
    <mergeCell ref="C402:E402"/>
    <mergeCell ref="C403:E403"/>
    <mergeCell ref="C404:E404"/>
    <mergeCell ref="O66:O67"/>
    <mergeCell ref="O68:O69"/>
    <mergeCell ref="B2:J3"/>
    <mergeCell ref="K9:N10"/>
    <mergeCell ref="K68:N69"/>
    <mergeCell ref="K66:N67"/>
  </mergeCells>
  <conditionalFormatting sqref="C47:I60">
    <cfRule type="expression" dxfId="5" priority="48" stopIfTrue="1">
      <formula>$G$6&lt;2</formula>
    </cfRule>
  </conditionalFormatting>
  <conditionalFormatting sqref="C62:I75">
    <cfRule type="expression" dxfId="5" priority="47" stopIfTrue="1">
      <formula>$G$6&lt;3</formula>
    </cfRule>
  </conditionalFormatting>
  <conditionalFormatting sqref="C77:I90">
    <cfRule type="expression" dxfId="5" priority="46" stopIfTrue="1">
      <formula>$G$6&lt;4</formula>
    </cfRule>
  </conditionalFormatting>
  <conditionalFormatting sqref="C92:I105">
    <cfRule type="expression" dxfId="5" priority="45" stopIfTrue="1">
      <formula>$G$6&lt;5</formula>
    </cfRule>
  </conditionalFormatting>
  <conditionalFormatting sqref="C107:I120">
    <cfRule type="expression" dxfId="6" priority="44" stopIfTrue="1">
      <formula>$G$6&lt;6</formula>
    </cfRule>
  </conditionalFormatting>
  <conditionalFormatting sqref="C122:I135">
    <cfRule type="expression" dxfId="6" priority="43" stopIfTrue="1">
      <formula>$G$6&lt;7</formula>
    </cfRule>
  </conditionalFormatting>
  <conditionalFormatting sqref="C137:I150">
    <cfRule type="expression" dxfId="6" priority="42" stopIfTrue="1">
      <formula>$G$6&lt;8</formula>
    </cfRule>
  </conditionalFormatting>
  <conditionalFormatting sqref="C152:I165">
    <cfRule type="expression" dxfId="6" priority="41" stopIfTrue="1">
      <formula>$G$6&lt;9</formula>
    </cfRule>
  </conditionalFormatting>
  <conditionalFormatting sqref="C167:I180">
    <cfRule type="expression" dxfId="6" priority="40" stopIfTrue="1">
      <formula>$G$6&lt;10</formula>
    </cfRule>
  </conditionalFormatting>
  <conditionalFormatting sqref="C182:I195">
    <cfRule type="expression" dxfId="6" priority="15" stopIfTrue="1">
      <formula>$G$6&lt;11</formula>
    </cfRule>
  </conditionalFormatting>
  <conditionalFormatting sqref="C197:I210">
    <cfRule type="expression" dxfId="6" priority="14" stopIfTrue="1">
      <formula>$G$6&lt;12</formula>
    </cfRule>
  </conditionalFormatting>
  <conditionalFormatting sqref="C212:I225">
    <cfRule type="expression" dxfId="6" priority="13" stopIfTrue="1">
      <formula>$G$6&lt;13</formula>
    </cfRule>
  </conditionalFormatting>
  <conditionalFormatting sqref="C227:I240">
    <cfRule type="expression" dxfId="6" priority="12" stopIfTrue="1">
      <formula>$G$6&lt;14</formula>
    </cfRule>
  </conditionalFormatting>
  <conditionalFormatting sqref="C242:I255">
    <cfRule type="expression" dxfId="6" priority="11" stopIfTrue="1">
      <formula>$G$6&lt;15</formula>
    </cfRule>
  </conditionalFormatting>
  <conditionalFormatting sqref="C257:I270">
    <cfRule type="expression" dxfId="6" priority="10" stopIfTrue="1">
      <formula>$G$6&lt;16</formula>
    </cfRule>
  </conditionalFormatting>
  <conditionalFormatting sqref="C272:I285">
    <cfRule type="expression" dxfId="6" priority="9" stopIfTrue="1">
      <formula>$G$6&lt;17</formula>
    </cfRule>
  </conditionalFormatting>
  <conditionalFormatting sqref="C287:I300">
    <cfRule type="expression" dxfId="6" priority="8" stopIfTrue="1">
      <formula>$G$6&lt;18</formula>
    </cfRule>
  </conditionalFormatting>
  <conditionalFormatting sqref="C302:I315">
    <cfRule type="expression" dxfId="6" priority="7" stopIfTrue="1">
      <formula>$G$6&lt;19</formula>
    </cfRule>
  </conditionalFormatting>
  <conditionalFormatting sqref="C317:I330">
    <cfRule type="expression" dxfId="6" priority="6" stopIfTrue="1">
      <formula>$G$6&lt;20</formula>
    </cfRule>
  </conditionalFormatting>
  <conditionalFormatting sqref="C332:I345">
    <cfRule type="expression" dxfId="6" priority="5" stopIfTrue="1">
      <formula>$G$6&lt;21</formula>
    </cfRule>
  </conditionalFormatting>
  <conditionalFormatting sqref="C347:I360">
    <cfRule type="expression" dxfId="6" priority="4" stopIfTrue="1">
      <formula>$G$6&lt;22</formula>
    </cfRule>
  </conditionalFormatting>
  <conditionalFormatting sqref="C362:I375">
    <cfRule type="expression" dxfId="6" priority="3" stopIfTrue="1">
      <formula>$G$6&lt;23</formula>
    </cfRule>
  </conditionalFormatting>
  <conditionalFormatting sqref="C377:I390">
    <cfRule type="expression" dxfId="6" priority="2" stopIfTrue="1">
      <formula>$G$6&lt;24</formula>
    </cfRule>
  </conditionalFormatting>
  <conditionalFormatting sqref="C392:I405">
    <cfRule type="expression" dxfId="6" priority="1" stopIfTrue="1">
      <formula>$G$6&lt;25</formula>
    </cfRule>
  </conditionalFormatting>
  <dataValidations count="2">
    <dataValidation type="whole" operator="between" allowBlank="1" showInputMessage="1" showErrorMessage="1" errorTitle="ATTENZIONE" error="Inserire un numero compreso tra 1 e 25!" sqref="G6" errorStyle="warning">
      <formula1>1</formula1>
      <formula2>25</formula2>
    </dataValidation>
    <dataValidation allowBlank="1" showInputMessage="1" showErrorMessage="1" errorTitle="ATTENZIONE" error="Inserire un numero compreso tra 1 e 10!" sqref="G7:G14" errorStyle="warning"/>
  </dataValidations>
  <hyperlinks>
    <hyperlink ref="K9:K10" location="'Procedura guidata'!A1" display="Torna alla procedura guidata!"/>
  </hyperlinks>
  <pageMargins left="0.118110236220472" right="0.15748031496063" top="0.15748031496063" bottom="0.15748031496063" header="0.31496062992126" footer="0.31496062992126"/>
  <pageSetup paperSize="9" orientation="portrait"/>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66"/>
  </sheetPr>
  <dimension ref="A1:Q43"/>
  <sheetViews>
    <sheetView showGridLines="0" showZeros="0" zoomScale="95" zoomScaleNormal="95" workbookViewId="0">
      <selection activeCell="G6" sqref="G6"/>
    </sheetView>
  </sheetViews>
  <sheetFormatPr defaultColWidth="0" defaultRowHeight="12.75" customHeight="1" zeroHeight="1"/>
  <cols>
    <col min="1" max="1" width="5.71428571428571" style="222" customWidth="1"/>
    <col min="2" max="2" width="5.71428571428571" style="221" customWidth="1"/>
    <col min="3" max="3" width="5.57142857142857" style="221" customWidth="1"/>
    <col min="4" max="7" width="10.7142857142857" style="221" customWidth="1"/>
    <col min="8" max="8" width="1.42857142857143" style="221" hidden="1" customWidth="1"/>
    <col min="9" max="9" width="5.42857142857143" style="221" hidden="1" customWidth="1"/>
    <col min="10" max="10" width="12.4285714285714" style="221" customWidth="1"/>
    <col min="11" max="11" width="6.71428571428571" style="221" customWidth="1"/>
    <col min="12" max="12" width="10.1428571428571" style="221" customWidth="1"/>
    <col min="13" max="14" width="6.71428571428571" style="221" customWidth="1"/>
    <col min="15" max="15" width="12.7142857142857" style="221" customWidth="1"/>
    <col min="16" max="16" width="18.7142857142857" style="221" customWidth="1"/>
    <col min="17" max="17" width="3.28571428571429" style="221" customWidth="1"/>
    <col min="18" max="18" width="13.4285714285714" style="221" hidden="1" customWidth="1"/>
    <col min="19" max="19" width="4.42857142857143" style="221" hidden="1" customWidth="1"/>
    <col min="20" max="20" width="3.71428571428571" style="221" hidden="1" customWidth="1"/>
    <col min="21" max="21" width="8.42857142857143" style="221" hidden="1" customWidth="1"/>
    <col min="22" max="22" width="6.71428571428571" style="221" hidden="1" customWidth="1"/>
    <col min="23" max="23" width="9.42857142857143" style="221" hidden="1" customWidth="1"/>
    <col min="24" max="24" width="4.71428571428571" style="221" hidden="1" customWidth="1"/>
    <col min="25" max="25" width="3.57142857142857" style="221" hidden="1" customWidth="1"/>
    <col min="26" max="26" width="12.4285714285714" style="221" hidden="1" customWidth="1"/>
    <col min="27" max="27" width="14.2857142857143" style="221" hidden="1" customWidth="1"/>
    <col min="28" max="253" width="9.14285714285714" style="221" hidden="1" customWidth="1"/>
    <col min="254" max="255" width="4.42857142857143" style="221" hidden="1" customWidth="1"/>
    <col min="256" max="16384" width="4.42857142857143" style="221" hidden="1"/>
  </cols>
  <sheetData>
    <row r="1" ht="10.5" customHeight="1"/>
    <row r="2" ht="10.5" customHeight="1"/>
    <row r="3" s="218" customFormat="1" customHeight="1" spans="1:16">
      <c r="A3" s="453"/>
      <c r="K3" s="601" t="str">
        <f>IF(DetClasse_Abitanti="Comune con meno di 50.000 abitanti","Parametri_Classi","Parametri_ClassiSopr50000Ab")</f>
        <v>Parametri_Classi</v>
      </c>
      <c r="L3" s="601" t="str">
        <f>IF(DetClasse_Abitanti="Comune con meno di 50.000 abitanti","Parametri_MinClassi","Parametri_MinClassiSopr50000Ab")</f>
        <v>Parametri_MinClassi</v>
      </c>
      <c r="M3" s="337"/>
      <c r="N3" s="337"/>
      <c r="O3" s="337"/>
      <c r="P3" s="313"/>
    </row>
    <row r="4" s="218" customFormat="1" customHeight="1" spans="1:16">
      <c r="A4" s="219"/>
      <c r="B4" s="557" t="s">
        <v>169</v>
      </c>
      <c r="C4" s="558"/>
      <c r="D4" s="558"/>
      <c r="E4" s="558"/>
      <c r="F4" s="219"/>
      <c r="G4" s="219"/>
      <c r="H4" s="559" t="s">
        <v>170</v>
      </c>
      <c r="I4" s="219"/>
      <c r="J4" s="219"/>
      <c r="K4" s="219"/>
      <c r="L4" s="219"/>
      <c r="M4" s="219"/>
      <c r="N4"/>
      <c r="O4"/>
      <c r="P4" s="219"/>
    </row>
    <row r="5" customHeight="1" spans="1:16">
      <c r="A5" s="219"/>
      <c r="B5" s="560" t="s">
        <v>171</v>
      </c>
      <c r="C5" s="238"/>
      <c r="D5" s="236" t="s">
        <v>172</v>
      </c>
      <c r="E5" s="236" t="s">
        <v>156</v>
      </c>
      <c r="F5" s="236" t="s">
        <v>172</v>
      </c>
      <c r="G5" s="236" t="s">
        <v>156</v>
      </c>
      <c r="H5" s="561" t="s">
        <v>173</v>
      </c>
      <c r="I5" s="602"/>
      <c r="J5" s="238" t="s">
        <v>174</v>
      </c>
      <c r="K5" s="236" t="s">
        <v>175</v>
      </c>
      <c r="L5" s="336" t="s">
        <v>176</v>
      </c>
      <c r="M5" s="219"/>
      <c r="N5"/>
      <c r="O5"/>
      <c r="P5" s="544"/>
    </row>
    <row r="6" customHeight="1" spans="1:16">
      <c r="A6" s="219"/>
      <c r="B6" s="239" t="s">
        <v>177</v>
      </c>
      <c r="C6" s="240"/>
      <c r="D6" s="562">
        <f>COUNTIF(dimensione_planimetrica_1,"&gt;0")</f>
        <v>0</v>
      </c>
      <c r="E6" s="563">
        <f>dimensione_planimetrica_1_totale</f>
        <v>0</v>
      </c>
      <c r="F6" s="241"/>
      <c r="G6" s="564"/>
      <c r="H6" s="243"/>
      <c r="I6" s="244"/>
      <c r="J6" s="245">
        <f>IF((E6+G6)&gt;0,(E6+G6)/(E11+G11),0)</f>
        <v>0</v>
      </c>
      <c r="K6" s="1188" t="s">
        <v>178</v>
      </c>
      <c r="L6" s="339">
        <f>J6*K6</f>
        <v>0</v>
      </c>
      <c r="M6" s="219"/>
      <c r="N6"/>
      <c r="O6"/>
      <c r="P6" s="545"/>
    </row>
    <row r="7" s="218" customFormat="1" customHeight="1" spans="1:16">
      <c r="A7" s="219"/>
      <c r="B7" s="239" t="s">
        <v>179</v>
      </c>
      <c r="C7" s="240"/>
      <c r="D7" s="562">
        <f>COUNTIF(dimensione_planimetrica_2,"&gt;0")</f>
        <v>0</v>
      </c>
      <c r="E7" s="563">
        <f>dimensione_planimetrica_2_totale</f>
        <v>0</v>
      </c>
      <c r="F7" s="241"/>
      <c r="G7" s="564"/>
      <c r="H7" s="243"/>
      <c r="I7" s="244"/>
      <c r="J7" s="245">
        <f>IF((E7+G7)&gt;0,(E7+G7)/(E11+G11),0)</f>
        <v>0</v>
      </c>
      <c r="K7" s="338">
        <v>5</v>
      </c>
      <c r="L7" s="339">
        <f>J7*K7</f>
        <v>0</v>
      </c>
      <c r="M7" s="219"/>
      <c r="N7"/>
      <c r="O7"/>
      <c r="P7" s="546"/>
    </row>
    <row r="8" s="218" customFormat="1" customHeight="1" spans="1:16">
      <c r="A8" s="219"/>
      <c r="B8" s="239" t="s">
        <v>180</v>
      </c>
      <c r="C8" s="240"/>
      <c r="D8" s="562">
        <f>COUNTIF(dimensione_planimetrica_3,"&gt;0")</f>
        <v>0</v>
      </c>
      <c r="E8" s="563">
        <f>dimensione_planimetrica_3_totale</f>
        <v>0</v>
      </c>
      <c r="F8" s="241"/>
      <c r="G8" s="564"/>
      <c r="H8" s="243"/>
      <c r="I8" s="244"/>
      <c r="J8" s="245">
        <f>IF((E8+G8)&gt;0,(E8+G8)/(E11+G11),0)</f>
        <v>0</v>
      </c>
      <c r="K8" s="338">
        <v>15</v>
      </c>
      <c r="L8" s="339">
        <f>J8*K8</f>
        <v>0</v>
      </c>
      <c r="M8" s="219"/>
      <c r="N8"/>
      <c r="O8"/>
      <c r="P8" s="211" t="s">
        <v>30</v>
      </c>
    </row>
    <row r="9" s="218" customFormat="1" customHeight="1" spans="1:16">
      <c r="A9" s="219"/>
      <c r="B9" s="239" t="s">
        <v>181</v>
      </c>
      <c r="C9" s="240"/>
      <c r="D9" s="562">
        <f>COUNTIF(dimensione_planimetrica_4,"&gt;0")</f>
        <v>0</v>
      </c>
      <c r="E9" s="563">
        <f>dimensione_planimetrica_4_totale</f>
        <v>0</v>
      </c>
      <c r="F9" s="241"/>
      <c r="G9" s="564"/>
      <c r="H9" s="243"/>
      <c r="I9" s="244"/>
      <c r="J9" s="245">
        <f>IF((E9+G9)&gt;0,(E9+G9)/(E11+G11),0)</f>
        <v>0</v>
      </c>
      <c r="K9" s="338">
        <v>30</v>
      </c>
      <c r="L9" s="339">
        <f>J9*K9</f>
        <v>0</v>
      </c>
      <c r="M9" s="219"/>
      <c r="N9"/>
      <c r="O9"/>
      <c r="P9" s="211"/>
    </row>
    <row r="10" s="218" customFormat="1" customHeight="1" spans="1:16">
      <c r="A10" s="219"/>
      <c r="B10" s="246" t="s">
        <v>182</v>
      </c>
      <c r="C10" s="247"/>
      <c r="D10" s="565">
        <f>COUNTIF(dimensione_planimetrica_5,"&gt;0")</f>
        <v>0</v>
      </c>
      <c r="E10" s="566">
        <f>dimensione_planimetrica_5_totale</f>
        <v>0</v>
      </c>
      <c r="F10" s="248"/>
      <c r="G10" s="564"/>
      <c r="H10" s="250"/>
      <c r="I10" s="251"/>
      <c r="J10" s="252">
        <f>IF((E10+G10)&gt;0,(E10+G10)/(E11+G11),0)</f>
        <v>0</v>
      </c>
      <c r="K10" s="347">
        <v>50</v>
      </c>
      <c r="L10" s="348">
        <f>J10*K10</f>
        <v>0</v>
      </c>
      <c r="M10" s="219"/>
      <c r="N10"/>
      <c r="O10"/>
      <c r="P10" s="603"/>
    </row>
    <row r="11" s="218" customFormat="1" customHeight="1" spans="1:15">
      <c r="A11" s="219"/>
      <c r="B11" s="219"/>
      <c r="C11" s="219"/>
      <c r="D11" s="567" t="s">
        <v>183</v>
      </c>
      <c r="E11" s="568">
        <f>SUM(E6:E10)</f>
        <v>0</v>
      </c>
      <c r="F11" s="567" t="s">
        <v>183</v>
      </c>
      <c r="G11" s="568">
        <f>SUM(G6:G10)</f>
        <v>0</v>
      </c>
      <c r="H11" s="569"/>
      <c r="I11" s="604"/>
      <c r="J11" s="219" t="s">
        <v>0</v>
      </c>
      <c r="K11" s="219"/>
      <c r="L11" s="605" t="s">
        <v>184</v>
      </c>
      <c r="M11" s="349" t="str">
        <f>IF(SUM(L6:L10)&gt;0,SUM(L6:L10),"0")</f>
        <v>0</v>
      </c>
      <c r="N11"/>
      <c r="O11" s="488"/>
    </row>
    <row r="12" s="218" customFormat="1" customHeight="1" spans="1:17">
      <c r="A12" s="219"/>
      <c r="B12" s="219"/>
      <c r="C12" s="219"/>
      <c r="D12" s="219"/>
      <c r="E12" s="219"/>
      <c r="F12" s="219"/>
      <c r="G12" s="570"/>
      <c r="H12" s="571"/>
      <c r="I12" s="571"/>
      <c r="J12" s="219"/>
      <c r="K12" s="219"/>
      <c r="L12" s="219"/>
      <c r="M12" s="219"/>
      <c r="N12"/>
      <c r="O12" s="488"/>
      <c r="Q12" s="620"/>
    </row>
    <row r="13" s="218" customFormat="1" customHeight="1" spans="1:17">
      <c r="A13" s="219"/>
      <c r="B13" s="557" t="s">
        <v>185</v>
      </c>
      <c r="C13" s="558"/>
      <c r="D13" s="558"/>
      <c r="E13" s="558"/>
      <c r="F13" s="219"/>
      <c r="G13" s="570"/>
      <c r="H13" s="572"/>
      <c r="I13" s="571"/>
      <c r="J13" s="558"/>
      <c r="K13" s="219"/>
      <c r="L13" s="219"/>
      <c r="M13" s="333"/>
      <c r="N13"/>
      <c r="O13" s="488"/>
      <c r="Q13" s="620"/>
    </row>
    <row r="14" s="218" customFormat="1" customHeight="1" spans="1:17">
      <c r="A14" s="219"/>
      <c r="B14" s="234" t="s">
        <v>186</v>
      </c>
      <c r="C14" s="259"/>
      <c r="D14" s="259"/>
      <c r="E14" s="259"/>
      <c r="F14" s="260" t="s">
        <v>187</v>
      </c>
      <c r="G14" s="260" t="s">
        <v>187</v>
      </c>
      <c r="H14" s="290"/>
      <c r="I14" s="606"/>
      <c r="J14" s="236" t="s">
        <v>188</v>
      </c>
      <c r="K14" s="236" t="s">
        <v>189</v>
      </c>
      <c r="L14" s="336" t="s">
        <v>176</v>
      </c>
      <c r="M14" s="337"/>
      <c r="N14"/>
      <c r="O14" s="488"/>
      <c r="P14" s="444"/>
      <c r="Q14" s="620"/>
    </row>
    <row r="15" s="218" customFormat="1" customHeight="1" spans="1:17">
      <c r="A15" s="219"/>
      <c r="B15" s="263" t="s">
        <v>190</v>
      </c>
      <c r="C15" s="264"/>
      <c r="D15" s="264"/>
      <c r="E15" s="264"/>
      <c r="F15" s="573">
        <f>dimensione_planimetrica_snr1_totale</f>
        <v>0</v>
      </c>
      <c r="G15" s="574"/>
      <c r="H15" s="267">
        <v>0</v>
      </c>
      <c r="I15" s="268"/>
      <c r="J15" s="338" t="s">
        <v>191</v>
      </c>
      <c r="K15" s="360" t="str">
        <f>IF($J$20&lt;=50,"X",)</f>
        <v>X</v>
      </c>
      <c r="L15" s="607" t="s">
        <v>192</v>
      </c>
      <c r="M15" s="337"/>
      <c r="N15"/>
      <c r="O15" s="488"/>
      <c r="P15" s="444"/>
      <c r="Q15" s="620"/>
    </row>
    <row r="16" s="218" customFormat="1" customHeight="1" spans="1:17">
      <c r="A16" s="219"/>
      <c r="B16" s="270"/>
      <c r="C16" s="271"/>
      <c r="D16" s="271"/>
      <c r="E16" s="271"/>
      <c r="F16" s="575"/>
      <c r="G16" s="576"/>
      <c r="H16" s="274"/>
      <c r="I16" s="268"/>
      <c r="J16" s="338" t="s">
        <v>193</v>
      </c>
      <c r="K16" s="360">
        <f>IF(AND($J$20&lt;=75,$J$20&gt;50.001),"X",)</f>
        <v>0</v>
      </c>
      <c r="L16" s="608">
        <v>10</v>
      </c>
      <c r="M16" s="337"/>
      <c r="N16"/>
      <c r="O16" s="488"/>
      <c r="P16" s="446"/>
      <c r="Q16" s="620"/>
    </row>
    <row r="17" s="218" customFormat="1" customHeight="1" spans="1:17">
      <c r="A17" s="219"/>
      <c r="B17" s="239" t="s">
        <v>194</v>
      </c>
      <c r="C17" s="275"/>
      <c r="D17" s="275"/>
      <c r="E17" s="275"/>
      <c r="F17" s="577"/>
      <c r="G17" s="578">
        <v>0</v>
      </c>
      <c r="H17" s="274">
        <v>0</v>
      </c>
      <c r="I17" s="268"/>
      <c r="J17" s="338" t="s">
        <v>195</v>
      </c>
      <c r="K17" s="360">
        <f>IF(AND($J$20&lt;=100,$J$20&gt;75.1),"X",)</f>
        <v>0</v>
      </c>
      <c r="L17" s="608">
        <v>20</v>
      </c>
      <c r="M17" s="337"/>
      <c r="N17"/>
      <c r="O17" s="488"/>
      <c r="P17" s="447"/>
      <c r="Q17" s="620"/>
    </row>
    <row r="18" s="218" customFormat="1" customHeight="1" spans="1:17">
      <c r="A18" s="219"/>
      <c r="B18" s="239" t="s">
        <v>196</v>
      </c>
      <c r="C18" s="275"/>
      <c r="D18" s="275"/>
      <c r="E18" s="275"/>
      <c r="F18" s="579">
        <f>dimensione_planimetrica_snr2_totale</f>
        <v>0</v>
      </c>
      <c r="G18" s="580"/>
      <c r="H18" s="274">
        <v>0</v>
      </c>
      <c r="I18" s="268"/>
      <c r="J18" s="347" t="s">
        <v>197</v>
      </c>
      <c r="K18" s="371">
        <f>IF($J$20&gt;100.001,"X",)</f>
        <v>0</v>
      </c>
      <c r="L18" s="609">
        <v>30</v>
      </c>
      <c r="M18" s="231"/>
      <c r="N18"/>
      <c r="O18" s="488"/>
      <c r="P18" s="447"/>
      <c r="Q18" s="620"/>
    </row>
    <row r="19" s="218" customFormat="1" customHeight="1" spans="1:17">
      <c r="A19" s="219"/>
      <c r="B19" s="246" t="s">
        <v>198</v>
      </c>
      <c r="C19" s="279"/>
      <c r="D19" s="279"/>
      <c r="E19" s="279"/>
      <c r="F19" s="581">
        <f>dimensione_planimetrica_snr3_totale</f>
        <v>0</v>
      </c>
      <c r="G19" s="582"/>
      <c r="H19" s="281">
        <v>0</v>
      </c>
      <c r="I19" s="282"/>
      <c r="J19" s="231"/>
      <c r="K19" s="231"/>
      <c r="L19" s="436" t="s">
        <v>199</v>
      </c>
      <c r="M19" s="373" t="str">
        <f>VLOOKUP("X",$K$15:$L$18,2,FALSE)</f>
        <v>-</v>
      </c>
      <c r="N19"/>
      <c r="O19" s="488"/>
      <c r="P19" s="446"/>
      <c r="Q19" s="620"/>
    </row>
    <row r="20" s="218" customFormat="1" customHeight="1" spans="1:17">
      <c r="A20" s="219"/>
      <c r="B20" s="231"/>
      <c r="C20" s="231"/>
      <c r="D20" s="231"/>
      <c r="E20" s="253" t="s">
        <v>200</v>
      </c>
      <c r="F20" s="568">
        <f>SUM(F15,F18,F19)</f>
        <v>0</v>
      </c>
      <c r="G20" s="568">
        <f>SUM(G15:G19)</f>
        <v>0</v>
      </c>
      <c r="H20" s="283">
        <f>SUM(H15:H19)</f>
        <v>0</v>
      </c>
      <c r="I20" s="284"/>
      <c r="J20" s="285">
        <f>IF(ISERROR((F20+G20)/(E11+G11)*100),,((F20+G20)/(E11+G11)*100))</f>
        <v>0</v>
      </c>
      <c r="K20" s="231" t="s">
        <v>201</v>
      </c>
      <c r="L20" s="231"/>
      <c r="M20" s="231"/>
      <c r="N20"/>
      <c r="O20" s="488"/>
      <c r="P20" s="445"/>
      <c r="Q20" s="620"/>
    </row>
    <row r="21" s="222" customFormat="1" customHeight="1" spans="1:16">
      <c r="A21" s="219"/>
      <c r="B21" s="219"/>
      <c r="C21" s="219"/>
      <c r="D21" s="219"/>
      <c r="E21" s="219"/>
      <c r="F21" s="219"/>
      <c r="G21" s="219"/>
      <c r="H21" s="219"/>
      <c r="I21" s="219"/>
      <c r="J21" s="219" t="s">
        <v>202</v>
      </c>
      <c r="K21" s="219"/>
      <c r="L21" s="219"/>
      <c r="M21" s="219"/>
      <c r="N21" s="219"/>
      <c r="O21" s="219"/>
      <c r="P21" s="445"/>
    </row>
    <row r="22" s="222" customFormat="1" customHeight="1" spans="1:16">
      <c r="A22" s="219"/>
      <c r="C22" s="314"/>
      <c r="D22" s="314"/>
      <c r="E22" s="314"/>
      <c r="F22" s="314"/>
      <c r="G22" s="314"/>
      <c r="H22" s="258"/>
      <c r="I22" s="231"/>
      <c r="J22" s="610"/>
      <c r="K22" s="231"/>
      <c r="L22" s="231"/>
      <c r="M22" s="231"/>
      <c r="N22" s="231"/>
      <c r="O22" s="231"/>
      <c r="P22" s="445"/>
    </row>
    <row r="23" s="222" customFormat="1" customHeight="1" spans="1:15">
      <c r="A23" s="219"/>
      <c r="B23" s="583" t="s">
        <v>203</v>
      </c>
      <c r="C23" s="337"/>
      <c r="D23" s="337"/>
      <c r="E23" s="337"/>
      <c r="F23" s="337"/>
      <c r="G23" s="231"/>
      <c r="H23" s="233"/>
      <c r="I23" s="397"/>
      <c r="J23" s="560" t="s">
        <v>204</v>
      </c>
      <c r="K23" s="236" t="s">
        <v>189</v>
      </c>
      <c r="L23" s="336" t="s">
        <v>176</v>
      </c>
      <c r="M23" s="611">
        <f>COUNTIF(DetClasse_SelCaratt,"x")</f>
        <v>0</v>
      </c>
      <c r="N23" s="610"/>
      <c r="O23" s="612"/>
    </row>
    <row r="24" s="222" customFormat="1" customHeight="1" spans="1:15">
      <c r="A24" s="219"/>
      <c r="B24" s="584" t="s">
        <v>2</v>
      </c>
      <c r="C24" s="585" t="s">
        <v>205</v>
      </c>
      <c r="D24" s="287"/>
      <c r="E24" s="287"/>
      <c r="F24" s="287"/>
      <c r="G24" s="287"/>
      <c r="H24" s="586"/>
      <c r="I24" s="485"/>
      <c r="J24" s="1188" t="s">
        <v>178</v>
      </c>
      <c r="K24" s="380" t="str">
        <f>IF(COUNTIF($B$25:$B$29,"x")=0,"X",)</f>
        <v>X</v>
      </c>
      <c r="L24" s="1189" t="s">
        <v>192</v>
      </c>
      <c r="M24" s="337"/>
      <c r="N24" s="610"/>
      <c r="O24" s="610"/>
    </row>
    <row r="25" s="219" customFormat="1" customHeight="1" spans="2:15">
      <c r="B25" s="587" t="s">
        <v>2</v>
      </c>
      <c r="C25" s="588" t="s">
        <v>206</v>
      </c>
      <c r="D25" s="588"/>
      <c r="E25" s="588"/>
      <c r="F25" s="588"/>
      <c r="G25" s="588"/>
      <c r="H25" s="589"/>
      <c r="I25" s="231"/>
      <c r="J25" s="338">
        <v>1</v>
      </c>
      <c r="K25" s="380">
        <f>IF(COUNTIF($B$25:$B$29,"x")=1,"X",)</f>
        <v>0</v>
      </c>
      <c r="L25" s="608">
        <v>10</v>
      </c>
      <c r="M25" s="337"/>
      <c r="N25" s="231"/>
      <c r="O25" s="231"/>
    </row>
    <row r="26" s="219" customFormat="1" customHeight="1" spans="2:15">
      <c r="B26" s="385" t="s">
        <v>2</v>
      </c>
      <c r="C26" s="275" t="s">
        <v>207</v>
      </c>
      <c r="D26" s="275"/>
      <c r="E26" s="275"/>
      <c r="F26" s="275"/>
      <c r="G26" s="275"/>
      <c r="H26" s="590"/>
      <c r="I26" s="231"/>
      <c r="J26" s="338">
        <v>2</v>
      </c>
      <c r="K26" s="380">
        <f>IF(COUNTIF($B$25:$B$29,"x")=2,"X",)</f>
        <v>0</v>
      </c>
      <c r="L26" s="608">
        <v>20</v>
      </c>
      <c r="M26" s="337"/>
      <c r="N26" s="231"/>
      <c r="O26" s="231"/>
    </row>
    <row r="27" s="219" customFormat="1" customHeight="1" spans="2:15">
      <c r="B27" s="385" t="s">
        <v>2</v>
      </c>
      <c r="C27" s="275" t="s">
        <v>208</v>
      </c>
      <c r="D27" s="275"/>
      <c r="E27" s="275"/>
      <c r="F27" s="275"/>
      <c r="G27" s="275"/>
      <c r="H27" s="591"/>
      <c r="I27" s="231"/>
      <c r="J27" s="338">
        <v>3</v>
      </c>
      <c r="K27" s="380">
        <f>IF(COUNTIF($B$25:$B$29,"x")=3,"X",)</f>
        <v>0</v>
      </c>
      <c r="L27" s="608">
        <v>30</v>
      </c>
      <c r="M27" s="231"/>
      <c r="N27" s="231"/>
      <c r="O27" s="231"/>
    </row>
    <row r="28" s="219" customFormat="1" customHeight="1" spans="2:15">
      <c r="B28" s="385" t="s">
        <v>2</v>
      </c>
      <c r="C28" s="275" t="s">
        <v>209</v>
      </c>
      <c r="D28" s="275"/>
      <c r="E28" s="275"/>
      <c r="F28" s="275"/>
      <c r="G28" s="275"/>
      <c r="H28" s="590"/>
      <c r="I28" s="231"/>
      <c r="J28" s="338">
        <v>4</v>
      </c>
      <c r="K28" s="380">
        <f>IF(COUNTIF($B$25:$B$29,"x")=4,"X",)</f>
        <v>0</v>
      </c>
      <c r="L28" s="608">
        <v>40</v>
      </c>
      <c r="M28" s="231"/>
      <c r="N28" s="231"/>
      <c r="O28" s="231"/>
    </row>
    <row r="29" s="219" customFormat="1" customHeight="1" spans="2:15">
      <c r="B29" s="391" t="s">
        <v>2</v>
      </c>
      <c r="C29" s="279" t="s">
        <v>210</v>
      </c>
      <c r="D29" s="279"/>
      <c r="E29" s="279"/>
      <c r="F29" s="279"/>
      <c r="G29" s="247"/>
      <c r="H29" s="592"/>
      <c r="I29" s="231"/>
      <c r="J29" s="347">
        <v>5</v>
      </c>
      <c r="K29" s="394">
        <f>IF(COUNTIF($B$25:$B$29,"x")=5,"X",)</f>
        <v>0</v>
      </c>
      <c r="L29" s="609">
        <v>50</v>
      </c>
      <c r="M29" s="231"/>
      <c r="N29" s="231"/>
      <c r="O29" s="231"/>
    </row>
    <row r="30" s="219" customFormat="1" customHeight="1" spans="2:16">
      <c r="B30" s="314"/>
      <c r="C30" s="314"/>
      <c r="D30" s="314"/>
      <c r="E30" s="314"/>
      <c r="F30" s="314"/>
      <c r="G30" s="314"/>
      <c r="H30" s="593"/>
      <c r="I30" s="315"/>
      <c r="J30" s="231"/>
      <c r="K30" s="231"/>
      <c r="L30" s="436" t="s">
        <v>211</v>
      </c>
      <c r="M30" s="1190" t="str">
        <f>VLOOKUP("X",K24:L29,2,FALSE)</f>
        <v>-</v>
      </c>
      <c r="N30" s="396"/>
      <c r="O30" s="231"/>
      <c r="P30" s="447"/>
    </row>
    <row r="31" s="219" customFormat="1" customHeight="1" spans="2:16">
      <c r="B31" s="314"/>
      <c r="C31" s="314"/>
      <c r="D31" s="314"/>
      <c r="E31" s="314"/>
      <c r="F31" s="314"/>
      <c r="G31" s="314"/>
      <c r="H31" s="594"/>
      <c r="I31" s="315"/>
      <c r="J31" s="231"/>
      <c r="K31" s="231"/>
      <c r="L31" s="231"/>
      <c r="M31" s="513" t="s">
        <v>88</v>
      </c>
      <c r="N31" s="436" t="s">
        <v>212</v>
      </c>
      <c r="O31" s="513"/>
      <c r="P31" s="446"/>
    </row>
    <row r="32" s="219" customFormat="1" customHeight="1" spans="2:16">
      <c r="B32" s="314"/>
      <c r="C32" s="314"/>
      <c r="D32" s="314"/>
      <c r="E32" s="314"/>
      <c r="F32" s="314"/>
      <c r="G32" s="314"/>
      <c r="H32" s="595"/>
      <c r="I32" s="315"/>
      <c r="J32" s="231"/>
      <c r="K32" s="501" t="s">
        <v>213</v>
      </c>
      <c r="L32" s="613"/>
      <c r="M32" s="614">
        <f>SUM(M11,M19,M30)</f>
        <v>0</v>
      </c>
      <c r="N32" s="615" t="str">
        <f ca="1">IF(DetCL_DettContCostoCost_SommaIncrementi=0,"I",IF(ISERROR(MATCH(DetCL_DettContCostoCost_SommaIncrementi,INDIRECT(DetClasse_NomeMatriceMinClassi),1))=TRUE,INDEX(INDIRECT(DetClasse_NomeMatrice),1,1),INDEX(INDIRECT(DetClasse_NomeMatrice),MATCH(DetCL_DettContCostoCost_SommaIncrementi,INDIRECT(DetClasse_NomeMatriceMinClassi),1),1)))</f>
        <v>I</v>
      </c>
      <c r="O32" s="616">
        <f ca="1">IF(DetCL_DettContCostoCost_SommaIncrementi=0,0,IF(ISERROR(MATCH(DetCL_DettContCostoCost_SommaIncrementi,INDIRECT(DetClasse_NomeMatriceMinClassi),1))=TRUE,INDEX(INDIRECT(DetClasse_NomeMatrice),1,4),INDEX(INDIRECT(DetClasse_NomeMatrice),MATCH(DetCL_DettContCostoCost_SommaIncrementi,INDIRECT(DetClasse_NomeMatriceMinClassi),1),4)))</f>
        <v>0</v>
      </c>
      <c r="P32" s="446"/>
    </row>
    <row r="33" s="219" customFormat="1" customHeight="1" spans="2:16">
      <c r="B33" s="314"/>
      <c r="C33" s="314"/>
      <c r="D33" s="314"/>
      <c r="E33" s="314"/>
      <c r="F33" s="314"/>
      <c r="G33" s="314"/>
      <c r="H33" s="596"/>
      <c r="I33" s="315"/>
      <c r="J33" s="231"/>
      <c r="K33" s="537"/>
      <c r="L33" s="537"/>
      <c r="M33"/>
      <c r="N33"/>
      <c r="O33"/>
      <c r="P33" s="446"/>
    </row>
    <row r="34" s="218" customFormat="1" customHeight="1" spans="2:15">
      <c r="B34" s="597"/>
      <c r="C34" s="323"/>
      <c r="D34" s="323"/>
      <c r="E34" s="323"/>
      <c r="F34" s="598" t="s">
        <v>214</v>
      </c>
      <c r="G34" s="598"/>
      <c r="H34" s="598"/>
      <c r="I34" s="598"/>
      <c r="J34" s="598"/>
      <c r="K34" s="598"/>
      <c r="L34" s="598"/>
      <c r="M34" s="598"/>
      <c r="N34" s="617"/>
      <c r="O34" s="509">
        <f>CostoBase_NuovaEdif</f>
        <v>487.94</v>
      </c>
    </row>
    <row r="35" s="218" customFormat="1" customHeight="1" spans="2:16">
      <c r="B35" s="597"/>
      <c r="C35" s="323"/>
      <c r="D35" s="323"/>
      <c r="E35" s="323"/>
      <c r="F35" s="598" t="s">
        <v>215</v>
      </c>
      <c r="G35" s="598"/>
      <c r="H35" s="598"/>
      <c r="I35" s="598"/>
      <c r="J35" s="598"/>
      <c r="K35" s="598"/>
      <c r="L35" s="598"/>
      <c r="M35" s="598"/>
      <c r="N35" s="617"/>
      <c r="O35" s="618">
        <f ca="1">CostoBase_NuovaEdif*(1+DetClasse_Maggiorazione/100)</f>
        <v>487.94</v>
      </c>
      <c r="P35"/>
    </row>
    <row r="36" s="218" customFormat="1" customHeight="1" spans="2:16">
      <c r="B36"/>
      <c r="C36"/>
      <c r="D36"/>
      <c r="E36"/>
      <c r="F36"/>
      <c r="G36"/>
      <c r="H36"/>
      <c r="I36"/>
      <c r="J36"/>
      <c r="K36"/>
      <c r="L36"/>
      <c r="M36"/>
      <c r="N36"/>
      <c r="O36"/>
      <c r="P36" s="219"/>
    </row>
    <row r="37" s="218" customFormat="1" customHeight="1" spans="2:15">
      <c r="B37" s="599"/>
      <c r="C37" s="323"/>
      <c r="D37" s="323"/>
      <c r="E37" s="323"/>
      <c r="F37" s="598" t="s">
        <v>216</v>
      </c>
      <c r="G37" s="598"/>
      <c r="H37" s="598"/>
      <c r="I37" s="598"/>
      <c r="J37" s="598"/>
      <c r="K37" s="598"/>
      <c r="L37" s="598"/>
      <c r="M37" s="598"/>
      <c r="N37" s="617"/>
      <c r="O37" s="509">
        <f>CostoBase_Ristrutturaz</f>
        <v>487.94</v>
      </c>
    </row>
    <row r="38" s="218" customFormat="1" customHeight="1" spans="2:16">
      <c r="B38" s="599"/>
      <c r="C38" s="599"/>
      <c r="D38" s="599"/>
      <c r="E38" s="599"/>
      <c r="F38" s="598" t="s">
        <v>217</v>
      </c>
      <c r="G38" s="598"/>
      <c r="H38" s="598"/>
      <c r="I38" s="598"/>
      <c r="J38" s="598"/>
      <c r="K38" s="598"/>
      <c r="L38" s="598"/>
      <c r="M38" s="598"/>
      <c r="N38" s="617"/>
      <c r="O38" s="618">
        <f ca="1">CostoBase_Ristrutturaz*(1+DetClasse_Maggiorazione/100)</f>
        <v>487.94</v>
      </c>
      <c r="P38" s="219"/>
    </row>
    <row r="39" s="218" customFormat="1" customHeight="1" spans="2:16">
      <c r="B39" s="599"/>
      <c r="C39" s="599"/>
      <c r="D39" s="599"/>
      <c r="E39" s="599"/>
      <c r="F39" s="598"/>
      <c r="G39" s="598"/>
      <c r="H39" s="598"/>
      <c r="I39" s="598"/>
      <c r="J39" s="598"/>
      <c r="K39" s="598"/>
      <c r="L39" s="598"/>
      <c r="M39" s="598"/>
      <c r="N39" s="600"/>
      <c r="O39" s="619"/>
      <c r="P39" s="219"/>
    </row>
    <row r="40" s="218" customFormat="1" customHeight="1" spans="2:16">
      <c r="B40" s="599"/>
      <c r="C40" s="599"/>
      <c r="D40" s="599"/>
      <c r="E40" s="600" t="s">
        <v>218</v>
      </c>
      <c r="F40" s="600"/>
      <c r="G40" s="600"/>
      <c r="H40" s="600"/>
      <c r="I40" s="600"/>
      <c r="J40" s="600"/>
      <c r="K40" s="600"/>
      <c r="L40" s="600"/>
      <c r="M40" s="600"/>
      <c r="N40" s="617"/>
      <c r="O40" s="509">
        <f>CostoBase_CommTerz</f>
        <v>487.94</v>
      </c>
      <c r="P40" s="219"/>
    </row>
    <row r="41" s="218" customFormat="1" customHeight="1" spans="2:16">
      <c r="B41" s="599"/>
      <c r="C41" s="599"/>
      <c r="D41" s="599"/>
      <c r="E41" s="598" t="s">
        <v>219</v>
      </c>
      <c r="F41" s="598"/>
      <c r="G41" s="598"/>
      <c r="H41" s="598"/>
      <c r="I41" s="598"/>
      <c r="J41" s="598"/>
      <c r="K41" s="598"/>
      <c r="L41" s="598"/>
      <c r="M41" s="598"/>
      <c r="N41" s="617"/>
      <c r="O41" s="618">
        <f ca="1">CostoBase_CommTerz*(1+DetClasse_Maggiorazione/100)</f>
        <v>487.94</v>
      </c>
      <c r="P41" s="219"/>
    </row>
    <row r="42" s="218" customFormat="1" customHeight="1" spans="2:16">
      <c r="B42" s="599"/>
      <c r="C42" s="599"/>
      <c r="D42" s="599"/>
      <c r="E42" s="599"/>
      <c r="F42" s="598"/>
      <c r="G42" s="598"/>
      <c r="H42" s="598"/>
      <c r="I42" s="598"/>
      <c r="J42" s="598"/>
      <c r="K42" s="598"/>
      <c r="L42" s="598"/>
      <c r="M42" s="598"/>
      <c r="N42" s="600"/>
      <c r="O42" s="619"/>
      <c r="P42" s="219"/>
    </row>
    <row r="43" hidden="1" spans="2:16">
      <c r="B43" s="222"/>
      <c r="C43" s="222"/>
      <c r="D43" s="222"/>
      <c r="E43" s="222"/>
      <c r="F43" s="222"/>
      <c r="G43" s="222"/>
      <c r="H43" s="222"/>
      <c r="I43" s="222"/>
      <c r="J43" s="222"/>
      <c r="K43" s="222"/>
      <c r="L43" s="222"/>
      <c r="M43" s="222"/>
      <c r="N43" s="222"/>
      <c r="O43" s="222"/>
      <c r="P43" s="222"/>
    </row>
  </sheetData>
  <sheetProtection password="83CC" sheet="1" formatColumns="0" formatRows="0" insertRows="0" objects="1" scenarios="1"/>
  <mergeCells count="27">
    <mergeCell ref="B5:C5"/>
    <mergeCell ref="B6:C6"/>
    <mergeCell ref="B7:C7"/>
    <mergeCell ref="B8:C8"/>
    <mergeCell ref="B9:C9"/>
    <mergeCell ref="B10:C10"/>
    <mergeCell ref="B14:E14"/>
    <mergeCell ref="B17:E17"/>
    <mergeCell ref="B18:E18"/>
    <mergeCell ref="B19:E19"/>
    <mergeCell ref="C24:G24"/>
    <mergeCell ref="C25:G25"/>
    <mergeCell ref="C26:G26"/>
    <mergeCell ref="C27:G27"/>
    <mergeCell ref="C28:G28"/>
    <mergeCell ref="C29:G29"/>
    <mergeCell ref="K32:L32"/>
    <mergeCell ref="F34:N34"/>
    <mergeCell ref="F35:N35"/>
    <mergeCell ref="F37:N37"/>
    <mergeCell ref="F38:N38"/>
    <mergeCell ref="E40:N40"/>
    <mergeCell ref="E41:N41"/>
    <mergeCell ref="F15:F16"/>
    <mergeCell ref="G15:G16"/>
    <mergeCell ref="P8:P9"/>
    <mergeCell ref="B15:E16"/>
  </mergeCells>
  <conditionalFormatting sqref="F15">
    <cfRule type="expression" dxfId="7" priority="6" stopIfTrue="1">
      <formula>IF(COUNTIF(dimensione_planimetrica_totali,"&gt;0")=0,1,0)</formula>
    </cfRule>
  </conditionalFormatting>
  <conditionalFormatting sqref="F6:F10">
    <cfRule type="expression" dxfId="8" priority="4" stopIfTrue="1">
      <formula>Totale_alloggi_edificio&gt;0</formula>
    </cfRule>
  </conditionalFormatting>
  <conditionalFormatting sqref="F17:F20">
    <cfRule type="expression" dxfId="7" priority="7" stopIfTrue="1">
      <formula>IF(COUNTIF(dimensione_planimetrica_totali,"&gt;0")=0,1,0)</formula>
    </cfRule>
  </conditionalFormatting>
  <conditionalFormatting sqref="G6:G10">
    <cfRule type="expression" dxfId="8" priority="2" stopIfTrue="1">
      <formula>Totale_sua_edificio&gt;0</formula>
    </cfRule>
  </conditionalFormatting>
  <conditionalFormatting sqref="D5:E5;D11;F14">
    <cfRule type="expression" dxfId="9" priority="10" stopIfTrue="1">
      <formula>IF(COUNTIF(dimensione_planimetrica_totali,"&gt;0")=0,1,0)</formula>
    </cfRule>
  </conditionalFormatting>
  <conditionalFormatting sqref="F5:G5;G14;F11">
    <cfRule type="expression" dxfId="9" priority="3" stopIfTrue="1">
      <formula>Totale_alloggi_edificio&gt;0</formula>
    </cfRule>
  </conditionalFormatting>
  <conditionalFormatting sqref="D6:E10;E11">
    <cfRule type="expression" dxfId="7" priority="9" stopIfTrue="1">
      <formula>IF(COUNTIF(dimensione_planimetrica_totali,"&gt;0")=0,1,0)</formula>
    </cfRule>
  </conditionalFormatting>
  <conditionalFormatting sqref="G15:G16;G18:G19">
    <cfRule type="expression" dxfId="8" priority="1" stopIfTrue="1">
      <formula>Totale_snr_edificio&gt;0</formula>
    </cfRule>
  </conditionalFormatting>
  <dataValidations count="4">
    <dataValidation type="list" allowBlank="1" showInputMessage="1" showErrorMessage="1" sqref="B24:B29">
      <formula1>opzioni</formula1>
    </dataValidation>
    <dataValidation type="custom" allowBlank="1" showInputMessage="1" showErrorMessage="1" errorTitle="ATTENZIONE!" error="Non è possibile riportare un valore libero di alloggi quando si è già ottenuto un valore dal calcolo della superficie dell'edificio." sqref="F6:F10">
      <formula1>Totale_alloggi_edificio=0</formula1>
    </dataValidation>
    <dataValidation type="custom" allowBlank="1" showInputMessage="1" showErrorMessage="1" errorTitle="ATTENZIONE!" error="Non è possibile riportare un valore libero di S.u.a. quando si è già ottenuto un valore dal calcolo della superficie dell'edificio." sqref="G6:G10">
      <formula1>Totale_sua_edificio=0</formula1>
    </dataValidation>
    <dataValidation type="custom" allowBlank="1" showInputMessage="1" showErrorMessage="1" errorTitle="ATTENZIONE!" error="Non è possibile riportare un valore libero di S.n.r. quando si è già ottenuto un valore dal calcolo della superficie dell'edificio." sqref="G15:G16 G18:G19">
      <formula1>Totale_snr_edificio=0</formula1>
    </dataValidation>
  </dataValidations>
  <hyperlinks>
    <hyperlink ref="P8:P9" location="'Procedura guidata'!A1" display="Torna alla procedura guidata!"/>
  </hyperlinks>
  <printOptions horizontalCentered="1"/>
  <pageMargins left="0.15748031496063" right="0.15748031496063" top="0.275590551181102" bottom="0.275590551181102" header="0.275590551181102" footer="0.511811023622047"/>
  <pageSetup paperSize="9" orientation="landscape"/>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66"/>
    <pageSetUpPr fitToPage="1"/>
  </sheetPr>
  <dimension ref="B1:S90"/>
  <sheetViews>
    <sheetView showGridLines="0" workbookViewId="0">
      <selection activeCell="A1" sqref="A1"/>
    </sheetView>
  </sheetViews>
  <sheetFormatPr defaultColWidth="0" defaultRowHeight="12.75" customHeight="1" zeroHeight="1"/>
  <cols>
    <col min="1" max="1" width="5.71428571428571" style="221" customWidth="1"/>
    <col min="2" max="2" width="21" style="221" customWidth="1"/>
    <col min="3" max="4" width="9.71428571428571" style="221" customWidth="1"/>
    <col min="5" max="5" width="9.71428571428571" style="222" customWidth="1"/>
    <col min="6" max="6" width="12.7142857142857" style="221" customWidth="1"/>
    <col min="7" max="7" width="1.42857142857143" style="221" hidden="1" customWidth="1"/>
    <col min="8" max="8" width="5.42857142857143" style="221" hidden="1" customWidth="1"/>
    <col min="9" max="9" width="1.71428571428571" style="221" customWidth="1"/>
    <col min="10" max="12" width="9.71428571428571" style="221" customWidth="1"/>
    <col min="13" max="13" width="12.7142857142857" style="221" customWidth="1"/>
    <col min="14" max="14" width="1.57142857142857" style="221" customWidth="1"/>
    <col min="15" max="17" width="9.71428571428571" style="221" customWidth="1"/>
    <col min="18" max="18" width="12.7142857142857" style="221" customWidth="1"/>
    <col min="19" max="19" width="18.7142857142857" style="221" customWidth="1"/>
    <col min="20" max="20" width="6.71428571428571" style="221" hidden="1" customWidth="1"/>
    <col min="21" max="21" width="4.42857142857143" style="221" hidden="1" customWidth="1"/>
    <col min="22" max="22" width="3.71428571428571" style="221" hidden="1" customWidth="1"/>
    <col min="23" max="23" width="8.42857142857143" style="221" hidden="1" customWidth="1"/>
    <col min="24" max="24" width="6.71428571428571" style="221" hidden="1" customWidth="1"/>
    <col min="25" max="25" width="9.42857142857143" style="221" hidden="1" customWidth="1"/>
    <col min="26" max="26" width="4.71428571428571" style="221" hidden="1" customWidth="1"/>
    <col min="27" max="27" width="3.57142857142857" style="221" hidden="1" customWidth="1"/>
    <col min="28" max="28" width="12.4285714285714" style="221" hidden="1" customWidth="1"/>
    <col min="29" max="29" width="14.2857142857143" style="221" hidden="1" customWidth="1"/>
    <col min="30" max="255" width="9.14285714285714" style="221" hidden="1" customWidth="1"/>
    <col min="256" max="16384" width="0.142857142857143" style="221" hidden="1"/>
  </cols>
  <sheetData>
    <row r="1" customHeight="1" spans="2:19">
      <c r="B1" s="314"/>
      <c r="C1" s="314"/>
      <c r="D1" s="314"/>
      <c r="E1" s="314"/>
      <c r="F1" s="314"/>
      <c r="G1" s="314"/>
      <c r="H1" s="314"/>
      <c r="I1" s="314"/>
      <c r="J1" s="314"/>
      <c r="K1" s="314"/>
      <c r="L1" s="314"/>
      <c r="M1" s="314"/>
      <c r="N1" s="231"/>
      <c r="O1" s="231"/>
      <c r="P1" s="231"/>
      <c r="Q1" s="231"/>
      <c r="R1" s="397"/>
      <c r="S1" s="222"/>
    </row>
    <row r="2" customHeight="1" spans="2:19">
      <c r="B2" s="314"/>
      <c r="C2" s="489" t="s">
        <v>4</v>
      </c>
      <c r="D2" s="489"/>
      <c r="E2" s="489"/>
      <c r="F2" s="489"/>
      <c r="G2" s="314"/>
      <c r="H2" s="314"/>
      <c r="I2" s="314"/>
      <c r="J2" s="489" t="s">
        <v>220</v>
      </c>
      <c r="K2" s="489"/>
      <c r="L2" s="489"/>
      <c r="M2" s="489"/>
      <c r="N2" s="337"/>
      <c r="O2" s="489" t="s">
        <v>221</v>
      </c>
      <c r="P2" s="489"/>
      <c r="Q2" s="489"/>
      <c r="R2" s="489"/>
      <c r="S2" s="222"/>
    </row>
    <row r="3" customHeight="1" spans="2:19">
      <c r="B3" s="490"/>
      <c r="C3" s="491" t="s">
        <v>222</v>
      </c>
      <c r="D3" s="492"/>
      <c r="E3" s="492"/>
      <c r="F3" s="493"/>
      <c r="G3" s="490"/>
      <c r="H3" s="490"/>
      <c r="I3" s="490"/>
      <c r="J3" s="491" t="s">
        <v>222</v>
      </c>
      <c r="K3" s="492"/>
      <c r="L3" s="492"/>
      <c r="M3" s="493"/>
      <c r="N3" s="529"/>
      <c r="O3" s="491" t="s">
        <v>222</v>
      </c>
      <c r="P3" s="492"/>
      <c r="Q3" s="492"/>
      <c r="R3" s="493"/>
      <c r="S3" s="219"/>
    </row>
    <row r="4" s="218" customFormat="1" customHeight="1" spans="2:19">
      <c r="B4" s="490"/>
      <c r="C4" s="239" t="s">
        <v>223</v>
      </c>
      <c r="D4" s="275"/>
      <c r="E4" s="240"/>
      <c r="F4" s="494">
        <v>0</v>
      </c>
      <c r="G4" s="490"/>
      <c r="H4" s="490"/>
      <c r="I4" s="490"/>
      <c r="J4" s="239" t="s">
        <v>223</v>
      </c>
      <c r="K4" s="275"/>
      <c r="L4" s="240"/>
      <c r="M4" s="494">
        <v>0</v>
      </c>
      <c r="N4" s="530"/>
      <c r="O4" s="239" t="s">
        <v>223</v>
      </c>
      <c r="P4" s="275"/>
      <c r="Q4" s="240"/>
      <c r="R4" s="494">
        <v>0</v>
      </c>
      <c r="S4" s="544"/>
    </row>
    <row r="5" s="218" customFormat="1" customHeight="1" spans="2:19">
      <c r="B5" s="490"/>
      <c r="C5" s="239" t="s">
        <v>224</v>
      </c>
      <c r="D5" s="275"/>
      <c r="E5" s="240"/>
      <c r="F5" s="494">
        <v>0</v>
      </c>
      <c r="G5" s="490"/>
      <c r="H5" s="490"/>
      <c r="I5" s="490"/>
      <c r="J5" s="239" t="s">
        <v>224</v>
      </c>
      <c r="K5" s="275"/>
      <c r="L5" s="240"/>
      <c r="M5" s="494">
        <v>0</v>
      </c>
      <c r="N5" s="530"/>
      <c r="O5" s="239" t="s">
        <v>224</v>
      </c>
      <c r="P5" s="275"/>
      <c r="Q5" s="240"/>
      <c r="R5" s="494">
        <v>0</v>
      </c>
      <c r="S5" s="545"/>
    </row>
    <row r="6" s="218" customFormat="1" customHeight="1" spans="2:19">
      <c r="B6" s="490"/>
      <c r="C6" s="239" t="s">
        <v>225</v>
      </c>
      <c r="D6" s="275"/>
      <c r="E6" s="240"/>
      <c r="F6" s="495">
        <f>60%*F5</f>
        <v>0</v>
      </c>
      <c r="G6" s="490"/>
      <c r="H6" s="490"/>
      <c r="I6" s="490"/>
      <c r="J6" s="239" t="s">
        <v>225</v>
      </c>
      <c r="K6" s="275"/>
      <c r="L6" s="240"/>
      <c r="M6" s="495">
        <f>60%*M5</f>
        <v>0</v>
      </c>
      <c r="N6" s="531"/>
      <c r="O6" s="239" t="s">
        <v>225</v>
      </c>
      <c r="P6" s="275"/>
      <c r="Q6" s="240"/>
      <c r="R6" s="495">
        <f>60%*R5</f>
        <v>0</v>
      </c>
      <c r="S6" s="546"/>
    </row>
    <row r="7" s="218" customFormat="1" customHeight="1" spans="2:19">
      <c r="B7" s="490"/>
      <c r="C7" s="246" t="s">
        <v>226</v>
      </c>
      <c r="D7" s="279"/>
      <c r="E7" s="247"/>
      <c r="F7" s="496">
        <f>SUM(F4,F6)</f>
        <v>0</v>
      </c>
      <c r="G7" s="490"/>
      <c r="H7" s="490"/>
      <c r="I7" s="490"/>
      <c r="J7" s="239" t="s">
        <v>226</v>
      </c>
      <c r="K7" s="275"/>
      <c r="L7" s="240"/>
      <c r="M7" s="495">
        <f>SUM(M4,M6)</f>
        <v>0</v>
      </c>
      <c r="N7" s="530"/>
      <c r="O7" s="532" t="s">
        <v>226</v>
      </c>
      <c r="P7" s="533"/>
      <c r="Q7" s="547"/>
      <c r="R7" s="548">
        <f>SUM(R4,R6)</f>
        <v>0</v>
      </c>
      <c r="S7" s="549" t="s">
        <v>30</v>
      </c>
    </row>
    <row r="8" s="218" customFormat="1" customHeight="1" spans="2:19">
      <c r="B8" s="490"/>
      <c r="C8"/>
      <c r="D8"/>
      <c r="E8"/>
      <c r="F8"/>
      <c r="G8" s="490"/>
      <c r="H8" s="490"/>
      <c r="I8" s="490"/>
      <c r="J8" s="246" t="s">
        <v>227</v>
      </c>
      <c r="K8" s="279"/>
      <c r="L8" s="247"/>
      <c r="M8" s="534">
        <v>0</v>
      </c>
      <c r="N8" s="530"/>
      <c r="O8" s="246" t="s">
        <v>227</v>
      </c>
      <c r="P8" s="279"/>
      <c r="Q8" s="247"/>
      <c r="R8" s="534">
        <v>0</v>
      </c>
      <c r="S8" s="211"/>
    </row>
    <row r="9" s="218" customFormat="1" customHeight="1" spans="2:18">
      <c r="B9" s="490"/>
      <c r="C9" s="231"/>
      <c r="D9" s="231"/>
      <c r="E9" s="231"/>
      <c r="F9" s="497"/>
      <c r="G9" s="490"/>
      <c r="H9" s="490"/>
      <c r="I9" s="490"/>
      <c r="J9" s="231"/>
      <c r="K9" s="231"/>
      <c r="L9" s="231"/>
      <c r="M9" s="301"/>
      <c r="N9" s="490"/>
      <c r="O9" s="490"/>
      <c r="P9" s="490"/>
      <c r="Q9" s="490"/>
      <c r="R9" s="490"/>
    </row>
    <row r="10" s="218" customFormat="1" customHeight="1" spans="2:18">
      <c r="B10" s="231"/>
      <c r="C10" s="491" t="s">
        <v>228</v>
      </c>
      <c r="D10" s="492"/>
      <c r="E10" s="492"/>
      <c r="F10" s="493"/>
      <c r="G10" s="309"/>
      <c r="H10" s="305"/>
      <c r="I10" s="490"/>
      <c r="J10" s="491" t="s">
        <v>228</v>
      </c>
      <c r="K10" s="492"/>
      <c r="L10" s="492"/>
      <c r="M10" s="493"/>
      <c r="N10" s="490"/>
      <c r="O10" s="535" t="b">
        <f>IF(AND(selezione_passo_descrizione_intervento="x",selezione_nuova_costruzione="o"),FALSE,TRUE)</f>
        <v>1</v>
      </c>
      <c r="P10" s="490"/>
      <c r="Q10" s="490"/>
      <c r="R10" s="490"/>
    </row>
    <row r="11" s="218" customFormat="1" customHeight="1" spans="2:18">
      <c r="B11" s="231"/>
      <c r="C11" s="239" t="s">
        <v>229</v>
      </c>
      <c r="D11" s="275"/>
      <c r="E11" s="240"/>
      <c r="F11" s="494">
        <v>0</v>
      </c>
      <c r="G11" s="309"/>
      <c r="H11" s="305"/>
      <c r="I11" s="490"/>
      <c r="J11" s="239" t="s">
        <v>229</v>
      </c>
      <c r="K11" s="275"/>
      <c r="L11" s="240"/>
      <c r="M11" s="494">
        <v>0</v>
      </c>
      <c r="N11" s="490"/>
      <c r="O11" s="535" t="b">
        <f>IF(AND(selezione_passo_descrizione_intervento="x",selezione_ampliamento="o",selezione_ristrutturazione="o"),FALSE,TRUE)</f>
        <v>1</v>
      </c>
      <c r="P11" s="490"/>
      <c r="Q11" s="490"/>
      <c r="R11" s="490"/>
    </row>
    <row r="12" s="218" customFormat="1" customHeight="1" spans="2:18">
      <c r="B12" s="231"/>
      <c r="C12" s="239" t="s">
        <v>230</v>
      </c>
      <c r="D12" s="275"/>
      <c r="E12" s="240"/>
      <c r="F12" s="494">
        <v>0</v>
      </c>
      <c r="G12" s="309">
        <f>G11*0.6</f>
        <v>0</v>
      </c>
      <c r="H12" s="305"/>
      <c r="I12" s="490"/>
      <c r="J12" s="239" t="s">
        <v>230</v>
      </c>
      <c r="K12" s="275"/>
      <c r="L12" s="240"/>
      <c r="M12" s="494">
        <v>0</v>
      </c>
      <c r="N12" s="490"/>
      <c r="O12" s="535" t="b">
        <f>IF(AND(selezione_passo_descrizione_intervento="x",selezione_sottotetti="o"),FALSE,TRUE)</f>
        <v>1</v>
      </c>
      <c r="P12" s="490"/>
      <c r="Q12" s="490"/>
      <c r="R12" s="490"/>
    </row>
    <row r="13" s="218" customFormat="1" customHeight="1" spans="2:18">
      <c r="B13" s="231"/>
      <c r="C13" s="239" t="s">
        <v>231</v>
      </c>
      <c r="D13" s="275"/>
      <c r="E13" s="240"/>
      <c r="F13" s="495">
        <f>F12*0.6</f>
        <v>0</v>
      </c>
      <c r="G13" s="312">
        <v>0</v>
      </c>
      <c r="H13" s="305"/>
      <c r="I13" s="490"/>
      <c r="J13" s="239" t="s">
        <v>231</v>
      </c>
      <c r="K13" s="275"/>
      <c r="L13" s="240"/>
      <c r="M13" s="495">
        <f>M12*0.6</f>
        <v>0</v>
      </c>
      <c r="N13" s="490"/>
      <c r="O13" s="535"/>
      <c r="P13" s="490"/>
      <c r="Q13" s="490"/>
      <c r="R13" s="490"/>
    </row>
    <row r="14" s="218" customFormat="1" customHeight="1" spans="2:18">
      <c r="B14" s="231"/>
      <c r="C14" s="239" t="s">
        <v>232</v>
      </c>
      <c r="D14" s="275"/>
      <c r="E14" s="240"/>
      <c r="F14" s="495">
        <f>F11+F13</f>
        <v>0</v>
      </c>
      <c r="G14" s="300">
        <f>G10+G12</f>
        <v>0</v>
      </c>
      <c r="H14" s="305"/>
      <c r="I14" s="231"/>
      <c r="J14" s="239" t="s">
        <v>232</v>
      </c>
      <c r="K14" s="275"/>
      <c r="L14" s="240"/>
      <c r="M14" s="495">
        <f>M11+M13</f>
        <v>0</v>
      </c>
      <c r="N14" s="490"/>
      <c r="O14" s="490"/>
      <c r="P14" s="490"/>
      <c r="Q14" s="490"/>
      <c r="R14" s="490"/>
    </row>
    <row r="15" s="218" customFormat="1" customHeight="1" spans="2:18">
      <c r="B15" s="231"/>
      <c r="C15" s="246" t="s">
        <v>227</v>
      </c>
      <c r="D15" s="279"/>
      <c r="E15" s="247"/>
      <c r="F15" s="498">
        <v>0</v>
      </c>
      <c r="G15" s="466"/>
      <c r="H15" s="305"/>
      <c r="I15" s="231"/>
      <c r="J15" s="246" t="s">
        <v>227</v>
      </c>
      <c r="K15" s="279"/>
      <c r="L15" s="247"/>
      <c r="M15" s="534">
        <v>0</v>
      </c>
      <c r="N15" s="490"/>
      <c r="O15" s="490"/>
      <c r="P15" s="490"/>
      <c r="Q15" s="490"/>
      <c r="R15" s="490"/>
    </row>
    <row r="16" s="218" customFormat="1" customHeight="1" spans="2:18">
      <c r="B16" s="231"/>
      <c r="C16" s="231"/>
      <c r="D16" s="231"/>
      <c r="E16" s="231"/>
      <c r="F16" s="499"/>
      <c r="G16" s="319"/>
      <c r="H16" s="305"/>
      <c r="I16" s="102"/>
      <c r="J16" s="102"/>
      <c r="K16" s="315"/>
      <c r="L16" s="231"/>
      <c r="M16" s="536"/>
      <c r="N16" s="490"/>
      <c r="O16" s="490"/>
      <c r="P16" s="490"/>
      <c r="Q16" s="490"/>
      <c r="R16" s="550"/>
    </row>
    <row r="17" s="218" customFormat="1" customHeight="1" spans="2:18">
      <c r="B17" s="500" t="s">
        <v>233</v>
      </c>
      <c r="C17" s="501" t="s">
        <v>234</v>
      </c>
      <c r="D17" s="502"/>
      <c r="E17" s="503"/>
      <c r="F17" s="504">
        <f>CostoCost_NuovaCostResid_SupCompl</f>
        <v>0</v>
      </c>
      <c r="G17" s="233" t="s">
        <v>235</v>
      </c>
      <c r="H17" s="233"/>
      <c r="I17" s="233"/>
      <c r="J17" s="501" t="s">
        <v>234</v>
      </c>
      <c r="K17" s="502"/>
      <c r="L17" s="503"/>
      <c r="M17" s="504">
        <f>CostoCost_RistResid_SupCompl</f>
        <v>0</v>
      </c>
      <c r="N17" s="231"/>
      <c r="O17" s="501" t="s">
        <v>234</v>
      </c>
      <c r="P17" s="502"/>
      <c r="Q17" s="503"/>
      <c r="R17" s="504">
        <f>CostoCost_SottotResid_SupCompl</f>
        <v>0</v>
      </c>
    </row>
    <row r="18" s="218" customFormat="1" customHeight="1" spans="2:18">
      <c r="B18" s="500" t="s">
        <v>236</v>
      </c>
      <c r="C18" s="501" t="s">
        <v>237</v>
      </c>
      <c r="D18" s="502"/>
      <c r="E18" s="503"/>
      <c r="F18" s="504">
        <f>IF(F4&gt;0,IF(CostoCost_NuovaCostComm_SupCompl&lt;(F4*0.25),CostoCost_NuovaCostComm_SupCompl,0),0)</f>
        <v>0</v>
      </c>
      <c r="G18" s="233"/>
      <c r="H18" s="233"/>
      <c r="I18" s="233"/>
      <c r="J18" s="501" t="s">
        <v>237</v>
      </c>
      <c r="K18" s="502"/>
      <c r="L18" s="503"/>
      <c r="M18" s="504">
        <f>IF(M4&gt;0,IF(CostoCost_RistComm_SupCompl&lt;(M4*0.25),CostoCost_RistComm_SupCompl,0),0)</f>
        <v>0</v>
      </c>
      <c r="N18" s="231"/>
      <c r="O18" s="537"/>
      <c r="P18" s="537"/>
      <c r="Q18" s="537"/>
      <c r="R18" s="551"/>
    </row>
    <row r="19" s="218" customFormat="1" customHeight="1" spans="2:18">
      <c r="B19" s="231"/>
      <c r="C19" s="231"/>
      <c r="D19" s="231"/>
      <c r="E19" s="231"/>
      <c r="F19" s="505"/>
      <c r="G19" s="319"/>
      <c r="H19" s="305"/>
      <c r="I19" s="102"/>
      <c r="J19" s="102"/>
      <c r="K19" s="315"/>
      <c r="L19" s="231"/>
      <c r="M19" s="231"/>
      <c r="N19" s="231"/>
      <c r="O19" s="475"/>
      <c r="P19" s="476"/>
      <c r="Q19" s="231"/>
      <c r="R19" s="231"/>
    </row>
    <row r="20" s="218" customFormat="1" customHeight="1" spans="2:18">
      <c r="B20" s="506"/>
      <c r="C20" s="506"/>
      <c r="D20" s="506"/>
      <c r="E20" s="506"/>
      <c r="F20" s="507"/>
      <c r="G20" s="490"/>
      <c r="H20" s="490"/>
      <c r="I20" s="314"/>
      <c r="J20" s="314"/>
      <c r="K20" s="314"/>
      <c r="L20" s="314"/>
      <c r="M20" s="513"/>
      <c r="N20" s="538"/>
      <c r="O20" s="539"/>
      <c r="P20" s="539"/>
      <c r="Q20" s="539"/>
      <c r="R20" s="513"/>
    </row>
    <row r="21" s="218" customFormat="1" customHeight="1" spans="2:18">
      <c r="B21" s="318" t="s">
        <v>238</v>
      </c>
      <c r="C21" s="318"/>
      <c r="D21" s="318"/>
      <c r="E21" s="508"/>
      <c r="F21" s="509">
        <f>CostoBase_NuovaEdif</f>
        <v>487.94</v>
      </c>
      <c r="G21" s="490"/>
      <c r="H21" s="490"/>
      <c r="I21" s="314"/>
      <c r="J21" s="314"/>
      <c r="K21" s="314"/>
      <c r="L21" s="423"/>
      <c r="M21" s="509">
        <f>CostoBase_Ristrutturaz</f>
        <v>487.94</v>
      </c>
      <c r="N21" s="490"/>
      <c r="O21" s="314"/>
      <c r="P21" s="314"/>
      <c r="Q21" s="423"/>
      <c r="R21" s="509">
        <f>CostoBase_NuovaEdif</f>
        <v>487.94</v>
      </c>
    </row>
    <row r="22" s="218" customFormat="1" customHeight="1" spans="2:18">
      <c r="B22" s="318" t="s">
        <v>239</v>
      </c>
      <c r="C22" s="318"/>
      <c r="D22" s="318"/>
      <c r="E22" s="508"/>
      <c r="F22" s="509">
        <f ca="1">DetClasse_CostoMaggioratoNuovaEdif</f>
        <v>487.94</v>
      </c>
      <c r="G22" s="490"/>
      <c r="H22" s="490"/>
      <c r="I22" s="314"/>
      <c r="J22" s="314"/>
      <c r="K22" s="314"/>
      <c r="L22" s="423"/>
      <c r="M22" s="509">
        <f ca="1">DetClasse_CostoMaggioratoRistr</f>
        <v>487.94</v>
      </c>
      <c r="N22" s="490"/>
      <c r="O22" s="314"/>
      <c r="P22" s="314"/>
      <c r="Q22" s="423"/>
      <c r="R22" s="509">
        <f ca="1">DetClasse_CostoMaggioratoNuovaEdif</f>
        <v>487.94</v>
      </c>
    </row>
    <row r="23" s="218" customFormat="1" customHeight="1" spans="2:18">
      <c r="B23" s="318" t="s">
        <v>240</v>
      </c>
      <c r="C23" s="318"/>
      <c r="D23" s="318"/>
      <c r="E23" s="508"/>
      <c r="F23" s="509">
        <f ca="1">CostoCost_NuovaCost_SupCompl*F22</f>
        <v>0</v>
      </c>
      <c r="G23" s="467"/>
      <c r="H23" s="305"/>
      <c r="I23" s="102"/>
      <c r="J23" s="102"/>
      <c r="K23" s="314"/>
      <c r="L23" s="423"/>
      <c r="M23" s="509">
        <f ca="1">CostoCost_Rist_SupCompl*M22</f>
        <v>0</v>
      </c>
      <c r="N23" s="490"/>
      <c r="O23" s="314"/>
      <c r="P23" s="314"/>
      <c r="Q23" s="423"/>
      <c r="R23" s="509">
        <f ca="1">CostoCost_Sot_SupCompl*R22</f>
        <v>0</v>
      </c>
    </row>
    <row r="24" s="218" customFormat="1" customHeight="1" spans="2:18">
      <c r="B24" s="318"/>
      <c r="C24" s="318"/>
      <c r="D24" s="318"/>
      <c r="E24" s="325"/>
      <c r="F24" s="510"/>
      <c r="G24" s="322"/>
      <c r="H24" s="305"/>
      <c r="I24" s="102"/>
      <c r="J24" s="102"/>
      <c r="K24" s="540"/>
      <c r="L24" s="423"/>
      <c r="M24" s="510"/>
      <c r="N24" s="541"/>
      <c r="O24" s="540"/>
      <c r="P24" s="540"/>
      <c r="Q24" s="423"/>
      <c r="R24" s="510"/>
    </row>
    <row r="25" s="218" customFormat="1" customHeight="1" spans="2:18">
      <c r="B25" s="318" t="s">
        <v>241</v>
      </c>
      <c r="C25" s="318"/>
      <c r="D25" s="318"/>
      <c r="E25" s="508"/>
      <c r="F25" s="509">
        <f>CostoBase_CommTerz</f>
        <v>487.94</v>
      </c>
      <c r="G25" s="467"/>
      <c r="H25" s="305"/>
      <c r="I25" s="102"/>
      <c r="J25" s="102"/>
      <c r="K25" s="314"/>
      <c r="L25" s="423"/>
      <c r="M25" s="509">
        <f>CostoBase_CommTerz</f>
        <v>487.94</v>
      </c>
      <c r="N25" s="490"/>
      <c r="O25" s="314"/>
      <c r="P25" s="314"/>
      <c r="Q25" s="423"/>
      <c r="R25"/>
    </row>
    <row r="26" s="218" customFormat="1" customHeight="1" spans="2:18">
      <c r="B26" s="318" t="s">
        <v>242</v>
      </c>
      <c r="C26" s="318"/>
      <c r="D26" s="318"/>
      <c r="E26" s="508"/>
      <c r="F26" s="509">
        <f ca="1">DetClasse_CostoMaggioratoCommTerz</f>
        <v>487.94</v>
      </c>
      <c r="G26" s="467"/>
      <c r="H26" s="305"/>
      <c r="I26" s="102"/>
      <c r="J26" s="102"/>
      <c r="K26" s="314"/>
      <c r="L26" s="423"/>
      <c r="M26" s="509">
        <f ca="1">DetClasse_CostoMaggioratoCommTerz</f>
        <v>487.94</v>
      </c>
      <c r="N26" s="490"/>
      <c r="O26" s="314"/>
      <c r="P26" s="314"/>
      <c r="Q26" s="423"/>
      <c r="R26"/>
    </row>
    <row r="27" s="218" customFormat="1" customHeight="1" spans="2:18">
      <c r="B27" s="318" t="s">
        <v>243</v>
      </c>
      <c r="C27" s="318"/>
      <c r="D27" s="318"/>
      <c r="E27" s="508"/>
      <c r="F27" s="509">
        <f ca="1">F26*F18</f>
        <v>0</v>
      </c>
      <c r="G27" s="467"/>
      <c r="H27" s="305"/>
      <c r="I27" s="102"/>
      <c r="J27" s="102"/>
      <c r="K27" s="314"/>
      <c r="L27" s="423"/>
      <c r="M27" s="509">
        <f ca="1">M26*M18</f>
        <v>0</v>
      </c>
      <c r="N27" s="490"/>
      <c r="O27" s="314"/>
      <c r="P27" s="314"/>
      <c r="Q27" s="423"/>
      <c r="R27"/>
    </row>
    <row r="28" s="218" customFormat="1" customHeight="1" spans="2:18">
      <c r="B28" s="511"/>
      <c r="C28" s="102"/>
      <c r="D28" s="102"/>
      <c r="E28" s="102"/>
      <c r="F28" s="512"/>
      <c r="G28" s="467"/>
      <c r="H28" s="305"/>
      <c r="I28" s="102"/>
      <c r="J28" s="102"/>
      <c r="K28" s="102"/>
      <c r="L28" s="102"/>
      <c r="M28" s="102"/>
      <c r="N28" s="490"/>
      <c r="O28" s="314"/>
      <c r="P28" s="314"/>
      <c r="Q28" s="231"/>
      <c r="R28" s="231"/>
    </row>
    <row r="29" s="218" customFormat="1" customHeight="1" spans="2:18">
      <c r="B29" s="506" t="s">
        <v>244</v>
      </c>
      <c r="C29" s="506"/>
      <c r="D29" s="506"/>
      <c r="E29" s="513" t="s">
        <v>245</v>
      </c>
      <c r="F29" s="514"/>
      <c r="G29" s="490"/>
      <c r="H29" s="490"/>
      <c r="I29" s="314"/>
      <c r="J29" s="314"/>
      <c r="K29" s="314"/>
      <c r="L29" s="423" t="s">
        <v>245</v>
      </c>
      <c r="M29" s="314"/>
      <c r="N29" s="490"/>
      <c r="O29" s="314"/>
      <c r="P29" s="314"/>
      <c r="Q29" s="423" t="s">
        <v>245</v>
      </c>
      <c r="R29" s="231"/>
    </row>
    <row r="30" s="218" customFormat="1" customHeight="1" spans="2:18">
      <c r="B30" s="318" t="s">
        <v>246</v>
      </c>
      <c r="C30" s="318"/>
      <c r="D30" s="508"/>
      <c r="E30" s="515">
        <f ca="1">IF(ISERROR(MATCH(DetCL_DettContCostoCost_SommaIncrementi,INDIRECT(DetClasse_NomeMatriceMinClassi),1))=TRUE,INDEX(INDIRECT(DetClasse_NomeMatrice),1,5),INDEX(INDIRECT(DetClasse_NomeMatrice),MATCH(DetCL_DettContCostoCost_SommaIncrementi,INDIRECT(DetClasse_NomeMatriceMinClassi),1),5))</f>
        <v>6</v>
      </c>
      <c r="F30" s="509">
        <f ca="1">CostoCost_NuovaCost_CcEdificio*CostoCost_NuovaCost_ContrBaseMinistAliq/100</f>
        <v>0</v>
      </c>
      <c r="G30" s="490"/>
      <c r="H30" s="490"/>
      <c r="I30" s="314"/>
      <c r="J30" s="314"/>
      <c r="K30" s="314"/>
      <c r="L30" s="542">
        <f ca="1">IF(ISERROR(MATCH(DetCL_DettContCostoCost_SommaIncrementi,INDIRECT(DetClasse_NomeMatriceMinClassi),1))=TRUE,INDEX(INDIRECT(DetClasse_NomeMatrice),1,6),INDEX(INDIRECT(DetClasse_NomeMatrice),MATCH(DetCL_DettContCostoCost_SommaIncrementi,INDIRECT(DetClasse_NomeMatriceMinClassi),1),6))</f>
        <v>5</v>
      </c>
      <c r="M30" s="509">
        <f ca="1">CostoCost_Rist_CcEdificio*CostoCost_Rist_ContrBaseMinistAliq/100</f>
        <v>0</v>
      </c>
      <c r="N30" s="490"/>
      <c r="O30" s="490"/>
      <c r="P30" s="490"/>
      <c r="Q30" s="542">
        <f ca="1">IF(ISERROR(MATCH(DetCL_DettContCostoCost_SommaIncrementi,INDIRECT(DetClasse_NomeMatriceMinClassi),1))=TRUE,INDEX(INDIRECT(DetClasse_NomeMatrice),1,5),INDEX(INDIRECT(DetClasse_NomeMatrice),MATCH(DetCL_DettContCostoCost_SommaIncrementi,INDIRECT(DetClasse_NomeMatriceMinClassi),1),5))</f>
        <v>6</v>
      </c>
      <c r="R30" s="509">
        <f ca="1">CostoCost_Sot_CcEdificio*CostoCost_Sot_ContrBaseMinistAliq/100</f>
        <v>0</v>
      </c>
    </row>
    <row r="31" s="218" customFormat="1" customHeight="1" spans="2:18">
      <c r="B31" s="318" t="s">
        <v>247</v>
      </c>
      <c r="C31" s="318"/>
      <c r="D31" s="508"/>
      <c r="E31" s="515">
        <f ca="1">IF(ISERROR(MATCH(DetCL_DettContCostoCost_SommaIncrementi,INDIRECT(DetClasse_NomeMatriceMinClassi),1))=TRUE,INDEX(INDIRECT(DetClasse_NomeMatrice),1,5),INDEX(INDIRECT(DetClasse_NomeMatrice),MATCH(DetCL_DettContCostoCost_SommaIncrementi,INDIRECT(DetClasse_NomeMatriceMinClassi),1),5))</f>
        <v>6</v>
      </c>
      <c r="F31" s="509">
        <f ca="1">CostoCost_CommTerz_CcEdificio*E31/100</f>
        <v>0</v>
      </c>
      <c r="G31" s="490"/>
      <c r="H31" s="490"/>
      <c r="I31" s="314"/>
      <c r="J31" s="314"/>
      <c r="K31" s="314"/>
      <c r="L31" s="542">
        <f ca="1">IF(ISERROR(MATCH(DetCL_DettContCostoCost_SommaIncrementi,INDIRECT(DetClasse_NomeMatriceMinClassi),1))=TRUE,INDEX(INDIRECT(DetClasse_NomeMatrice),1,6),INDEX(INDIRECT(DetClasse_NomeMatrice),MATCH(DetCL_DettContCostoCost_SommaIncrementi,INDIRECT(DetClasse_NomeMatriceMinClassi),1),6))</f>
        <v>5</v>
      </c>
      <c r="M31" s="509">
        <f ca="1">M27*L31/100</f>
        <v>0</v>
      </c>
      <c r="N31" s="490"/>
      <c r="O31" s="490"/>
      <c r="P31" s="490"/>
      <c r="Q31" s="552"/>
      <c r="R31" s="553"/>
    </row>
    <row r="32" s="218" customFormat="1" customHeight="1" spans="2:18">
      <c r="B32" s="318" t="s">
        <v>248</v>
      </c>
      <c r="C32" s="318"/>
      <c r="D32" s="325"/>
      <c r="E32" s="516"/>
      <c r="F32"/>
      <c r="G32" s="490"/>
      <c r="H32" s="490"/>
      <c r="I32" s="314"/>
      <c r="J32" s="314"/>
      <c r="K32" s="314"/>
      <c r="L32" s="542">
        <f ca="1">IF(ISERROR(MATCH(DetCL_DettContCostoCost_SommaIncrementi,INDIRECT(DetClasse_NomeMatriceMinClassi),1))=TRUE,INDEX(INDIRECT(DetClasse_NomeMatrice),1,6),INDEX(INDIRECT(DetClasse_NomeMatrice),MATCH(DetCL_DettContCostoCost_SommaIncrementi,INDIRECT(DetClasse_NomeMatriceMinClassi),1),6))</f>
        <v>5</v>
      </c>
      <c r="M32" s="509">
        <f ca="1">CostoCost_Rist_Resid_ComputoEstim*CostoCost_Rist_ContrComEstResAliq/100</f>
        <v>0</v>
      </c>
      <c r="N32" s="490"/>
      <c r="O32" s="490"/>
      <c r="P32" s="490"/>
      <c r="Q32" s="542">
        <f ca="1">IF(ISERROR(MATCH(DetCL_DettContCostoCost_SommaIncrementi,INDIRECT(DetClasse_NomeMatriceMinClassi),1))=TRUE,INDEX(INDIRECT(DetClasse_NomeMatrice),1,5),INDEX(INDIRECT(DetClasse_NomeMatrice),MATCH(DetCL_DettContCostoCost_SommaIncrementi,INDIRECT(DetClasse_NomeMatriceMinClassi),1),5))</f>
        <v>6</v>
      </c>
      <c r="R32" s="509">
        <f ca="1">CostoCost_Sottotetti_ComputoEstim*CostoCost_Sot_ContrComEstResAliq/100</f>
        <v>0</v>
      </c>
    </row>
    <row r="33" s="218" customFormat="1" customHeight="1" spans="2:18">
      <c r="B33" s="318" t="s">
        <v>249</v>
      </c>
      <c r="C33" s="318"/>
      <c r="D33" s="508"/>
      <c r="E33" s="517">
        <f>Parametri_Aliquota_terziario_nuova_costr</f>
        <v>0.1</v>
      </c>
      <c r="F33" s="509">
        <f>CostoCost_NuovaCostComm_ComputoEstim*CostoCost_NuovaCost_ContrComEstComAliq</f>
        <v>0</v>
      </c>
      <c r="G33" s="490"/>
      <c r="H33" s="490"/>
      <c r="I33" s="314"/>
      <c r="J33" s="314"/>
      <c r="K33" s="314"/>
      <c r="L33" s="517">
        <f>Parametri_Aliquota_terziario_ristrutt</f>
        <v>0.1</v>
      </c>
      <c r="M33" s="509">
        <f>CostoCost_RistComm_ComputoEstim*CostoCost_Rist_ContrComEstComAliq</f>
        <v>0</v>
      </c>
      <c r="N33" s="490"/>
      <c r="O33" s="490"/>
      <c r="P33" s="490"/>
      <c r="Q33" s="231"/>
      <c r="R33" s="553"/>
    </row>
    <row r="34" s="218" customFormat="1" customHeight="1" spans="2:18">
      <c r="B34" s="325" t="s">
        <v>250</v>
      </c>
      <c r="C34" s="325"/>
      <c r="D34" s="325"/>
      <c r="E34" s="314"/>
      <c r="F34" s="509">
        <f ca="1">F30+F31+F33</f>
        <v>0</v>
      </c>
      <c r="G34" s="490"/>
      <c r="H34" s="490"/>
      <c r="I34" s="314"/>
      <c r="J34" s="314"/>
      <c r="K34" s="314"/>
      <c r="L34" s="314"/>
      <c r="M34" s="509">
        <f ca="1">M30+M31+M32+M33</f>
        <v>0</v>
      </c>
      <c r="N34" s="490"/>
      <c r="O34" s="490"/>
      <c r="P34" s="490"/>
      <c r="Q34" s="231"/>
      <c r="R34" s="509">
        <f ca="1">R30+R32</f>
        <v>0</v>
      </c>
    </row>
    <row r="35" s="218" customFormat="1" customHeight="1" spans="2:18">
      <c r="B35" s="511"/>
      <c r="C35" s="102"/>
      <c r="D35" s="102"/>
      <c r="E35" s="314"/>
      <c r="F35" s="514"/>
      <c r="G35" s="490"/>
      <c r="H35" s="490"/>
      <c r="I35" s="314"/>
      <c r="J35" s="314"/>
      <c r="K35" s="314"/>
      <c r="L35" s="314"/>
      <c r="M35" s="314"/>
      <c r="N35" s="490"/>
      <c r="O35" s="490"/>
      <c r="P35" s="490"/>
      <c r="Q35" s="231"/>
      <c r="R35" s="337"/>
    </row>
    <row r="36" s="218" customFormat="1" customHeight="1" spans="2:18">
      <c r="B36" s="506" t="s">
        <v>251</v>
      </c>
      <c r="C36" s="506"/>
      <c r="D36" s="506"/>
      <c r="E36" s="314"/>
      <c r="F36" s="514"/>
      <c r="G36" s="490"/>
      <c r="H36" s="490"/>
      <c r="I36" s="314"/>
      <c r="J36" s="314"/>
      <c r="K36" s="314"/>
      <c r="L36" s="314"/>
      <c r="M36" s="314"/>
      <c r="N36" s="490"/>
      <c r="O36" s="490"/>
      <c r="P36" s="490"/>
      <c r="Q36" s="231"/>
      <c r="R36" s="337"/>
    </row>
    <row r="37" s="218" customFormat="1" customHeight="1" spans="2:18">
      <c r="B37" s="318" t="s">
        <v>252</v>
      </c>
      <c r="C37" s="318"/>
      <c r="D37" s="318"/>
      <c r="E37" s="314"/>
      <c r="F37" s="518">
        <v>0</v>
      </c>
      <c r="G37" s="490"/>
      <c r="H37" s="490"/>
      <c r="I37" s="314"/>
      <c r="J37" s="314"/>
      <c r="K37" s="314"/>
      <c r="L37" s="314"/>
      <c r="M37" s="543">
        <v>0</v>
      </c>
      <c r="N37" s="490"/>
      <c r="O37" s="490"/>
      <c r="P37" s="253" t="s">
        <v>253</v>
      </c>
      <c r="Q37" s="554"/>
      <c r="R37" s="555">
        <f>Parametri_MaggiorazioneSottotettiCC</f>
        <v>0.2</v>
      </c>
    </row>
    <row r="38" s="218" customFormat="1" customHeight="1" spans="2:18">
      <c r="B38" s="519" t="s">
        <v>254</v>
      </c>
      <c r="C38" s="519"/>
      <c r="D38" s="519"/>
      <c r="E38" s="314"/>
      <c r="F38" s="518">
        <v>0</v>
      </c>
      <c r="G38" s="490"/>
      <c r="H38" s="490"/>
      <c r="I38" s="314"/>
      <c r="J38" s="314"/>
      <c r="K38" s="314"/>
      <c r="L38" s="314"/>
      <c r="M38" s="543">
        <v>0</v>
      </c>
      <c r="N38" s="490"/>
      <c r="O38" s="490"/>
      <c r="P38" s="490"/>
      <c r="Q38" s="231"/>
      <c r="R38" s="337"/>
    </row>
    <row r="39" s="218" customFormat="1" customHeight="1" spans="2:18">
      <c r="B39" s="329"/>
      <c r="C39" s="337"/>
      <c r="D39" s="337"/>
      <c r="E39" s="314"/>
      <c r="F39" s="514"/>
      <c r="G39" s="490"/>
      <c r="H39" s="490"/>
      <c r="I39" s="314"/>
      <c r="J39" s="314"/>
      <c r="K39" s="314"/>
      <c r="L39" s="314"/>
      <c r="M39" s="314"/>
      <c r="N39" s="490"/>
      <c r="O39" s="490"/>
      <c r="P39" s="490"/>
      <c r="Q39" s="231"/>
      <c r="R39" s="337"/>
    </row>
    <row r="40" s="218" customFormat="1" customHeight="1" spans="2:18">
      <c r="B40" s="520" t="s">
        <v>255</v>
      </c>
      <c r="C40" s="520"/>
      <c r="D40" s="520"/>
      <c r="E40" s="521"/>
      <c r="F40" s="522">
        <f ca="1">IF(EdiliziaConvenzionata="No",F34-F37-F38,"0")</f>
        <v>0</v>
      </c>
      <c r="G40" s="490"/>
      <c r="H40" s="490"/>
      <c r="I40" s="314"/>
      <c r="J40" s="314"/>
      <c r="K40" s="314"/>
      <c r="L40" s="314"/>
      <c r="M40" s="522">
        <f ca="1">IF(EdiliziaConvenzionata="No",M34-M37-M38,"0")</f>
        <v>0</v>
      </c>
      <c r="N40" s="490"/>
      <c r="O40" s="490"/>
      <c r="P40" s="490"/>
      <c r="Q40" s="231"/>
      <c r="R40" s="522">
        <f ca="1">IF(EdiliziaConvenzionata="No",(R34*R37)+R34,"0")</f>
        <v>0</v>
      </c>
    </row>
    <row r="41" s="488" customFormat="1" customHeight="1" spans="2:13">
      <c r="B41" s="523"/>
      <c r="C41" s="523"/>
      <c r="D41" s="523"/>
      <c r="E41" s="523"/>
      <c r="I41" s="523"/>
      <c r="J41" s="523"/>
      <c r="K41" s="523"/>
      <c r="L41" s="523"/>
      <c r="M41" s="523"/>
    </row>
    <row r="42" s="449" customFormat="1" ht="15" customHeight="1" spans="2:18">
      <c r="B42" s="524" t="s">
        <v>37</v>
      </c>
      <c r="C42" s="524"/>
      <c r="D42" s="524"/>
      <c r="E42" s="525"/>
      <c r="F42" s="526">
        <f ca="1">CostoCost_NuovaEdif_Dovuto+CostoCost_RistrAmpl_Dovuto+DettContCostoCost_Sottot_Dovuto</f>
        <v>0</v>
      </c>
      <c r="G42" s="527"/>
      <c r="H42" s="527"/>
      <c r="I42" s="527"/>
      <c r="J42" s="527"/>
      <c r="K42" s="527"/>
      <c r="L42" s="527"/>
      <c r="M42" s="527"/>
      <c r="N42" s="527"/>
      <c r="O42" s="527"/>
      <c r="P42" s="527"/>
      <c r="Q42" s="527"/>
      <c r="R42" s="556"/>
    </row>
    <row r="43" customHeight="1" spans="2:4">
      <c r="B43" s="222"/>
      <c r="C43" s="222"/>
      <c r="D43" s="222"/>
    </row>
    <row r="44" ht="15" hidden="1" customHeight="1"/>
    <row r="45" ht="15" hidden="1" customHeight="1"/>
    <row r="46" ht="15" hidden="1" customHeight="1"/>
    <row r="47" ht="15" hidden="1" customHeight="1"/>
    <row r="48" ht="15" hidden="1" customHeight="1"/>
    <row r="49" ht="15" hidden="1" customHeight="1" spans="6:6">
      <c r="F49" s="528"/>
    </row>
    <row r="50" ht="15" hidden="1" customHeight="1"/>
    <row r="51" ht="15" hidden="1" customHeight="1"/>
    <row r="52" ht="15" hidden="1" customHeight="1"/>
    <row r="53" ht="15" hidden="1" customHeight="1"/>
    <row r="54" ht="15" hidden="1" customHeight="1"/>
    <row r="55" ht="15" hidden="1" customHeight="1"/>
    <row r="56" ht="14.25" hidden="1" customHeight="1"/>
    <row r="57" ht="15" hidden="1" customHeight="1"/>
    <row r="58" ht="15" hidden="1" customHeight="1"/>
    <row r="59" ht="15" hidden="1" customHeight="1"/>
    <row r="60" ht="15" hidden="1" customHeight="1"/>
    <row r="61" ht="15" hidden="1" customHeight="1"/>
    <row r="62" ht="15" hidden="1" customHeight="1"/>
    <row r="63" ht="15" hidden="1" customHeight="1"/>
    <row r="64" ht="15" hidden="1" customHeight="1"/>
    <row r="65" ht="15" hidden="1" customHeight="1"/>
    <row r="66" ht="15" hidden="1" customHeight="1"/>
    <row r="67" ht="15" hidden="1" customHeight="1"/>
    <row r="68" ht="15" hidden="1" customHeight="1"/>
    <row r="69" ht="15" hidden="1" customHeight="1"/>
    <row r="70" ht="15" hidden="1" customHeight="1"/>
    <row r="71" ht="15" hidden="1" customHeight="1"/>
    <row r="72" ht="15" hidden="1" customHeight="1"/>
    <row r="73" ht="15" hidden="1" customHeight="1"/>
    <row r="74" ht="15" hidden="1" customHeight="1"/>
    <row r="75" ht="15" hidden="1" customHeight="1"/>
    <row r="76" ht="15" hidden="1" customHeight="1"/>
    <row r="77" ht="15" hidden="1" customHeight="1"/>
    <row r="78" ht="15" hidden="1" customHeight="1"/>
    <row r="79" ht="15" hidden="1" customHeight="1"/>
    <row r="80" ht="15" hidden="1" customHeight="1"/>
    <row r="81" ht="15" hidden="1" customHeight="1"/>
    <row r="82" ht="15" hidden="1" customHeight="1"/>
    <row r="83" ht="15" hidden="1" customHeight="1"/>
    <row r="84" ht="15" hidden="1" customHeight="1"/>
    <row r="85" ht="15" hidden="1" customHeight="1"/>
    <row r="86" ht="15" hidden="1" customHeight="1"/>
    <row r="87" ht="15" hidden="1" customHeight="1"/>
    <row r="88" ht="15" hidden="1" customHeight="1"/>
    <row r="89" ht="11.25" hidden="1" customHeight="1"/>
    <row r="90" ht="11.25" hidden="1" customHeight="1"/>
  </sheetData>
  <sheetProtection password="83CC" sheet="1" formatColumns="0" formatRows="0" insertRows="0" objects="1" scenarios="1"/>
  <mergeCells count="58">
    <mergeCell ref="C2:F2"/>
    <mergeCell ref="J2:M2"/>
    <mergeCell ref="O2:R2"/>
    <mergeCell ref="C3:F3"/>
    <mergeCell ref="J3:M3"/>
    <mergeCell ref="O3:R3"/>
    <mergeCell ref="C4:E4"/>
    <mergeCell ref="J4:L4"/>
    <mergeCell ref="O4:Q4"/>
    <mergeCell ref="C5:E5"/>
    <mergeCell ref="J5:L5"/>
    <mergeCell ref="O5:Q5"/>
    <mergeCell ref="C6:E6"/>
    <mergeCell ref="J6:L6"/>
    <mergeCell ref="O6:Q6"/>
    <mergeCell ref="C7:E7"/>
    <mergeCell ref="J7:L7"/>
    <mergeCell ref="O7:Q7"/>
    <mergeCell ref="J8:L8"/>
    <mergeCell ref="O8:Q8"/>
    <mergeCell ref="C10:F10"/>
    <mergeCell ref="J10:M10"/>
    <mergeCell ref="C11:E11"/>
    <mergeCell ref="J11:L11"/>
    <mergeCell ref="C12:E12"/>
    <mergeCell ref="J12:L12"/>
    <mergeCell ref="C13:E13"/>
    <mergeCell ref="J13:L13"/>
    <mergeCell ref="C14:E14"/>
    <mergeCell ref="J14:L14"/>
    <mergeCell ref="C15:E15"/>
    <mergeCell ref="J15:L15"/>
    <mergeCell ref="C17:E17"/>
    <mergeCell ref="J17:L17"/>
    <mergeCell ref="O17:Q17"/>
    <mergeCell ref="C18:E18"/>
    <mergeCell ref="J18:L18"/>
    <mergeCell ref="B20:E20"/>
    <mergeCell ref="B21:E21"/>
    <mergeCell ref="B22:E22"/>
    <mergeCell ref="B23:E23"/>
    <mergeCell ref="B25:E25"/>
    <mergeCell ref="B26:E26"/>
    <mergeCell ref="B27:E27"/>
    <mergeCell ref="B29:D29"/>
    <mergeCell ref="B30:D30"/>
    <mergeCell ref="B31:D31"/>
    <mergeCell ref="B32:D32"/>
    <mergeCell ref="B33:D33"/>
    <mergeCell ref="B34:D34"/>
    <mergeCell ref="B36:D36"/>
    <mergeCell ref="B37:D37"/>
    <mergeCell ref="P37:Q37"/>
    <mergeCell ref="B38:D38"/>
    <mergeCell ref="B40:E40"/>
    <mergeCell ref="B42:E42"/>
    <mergeCell ref="F42:R42"/>
    <mergeCell ref="S7:S8"/>
  </mergeCells>
  <conditionalFormatting sqref="F11:F12;F15;F37:F38;F4:F5">
    <cfRule type="expression" dxfId="4" priority="4" stopIfTrue="1">
      <formula>$O$10=FALSE</formula>
    </cfRule>
  </conditionalFormatting>
  <conditionalFormatting sqref="M4:M5;M8;M11:M12;M15;M37:M38">
    <cfRule type="expression" dxfId="4" priority="2" stopIfTrue="1">
      <formula>$O$11=FALSE</formula>
    </cfRule>
  </conditionalFormatting>
  <conditionalFormatting sqref="R4:R5;R8">
    <cfRule type="expression" dxfId="4" priority="3" stopIfTrue="1">
      <formula>$O$12=FALSE</formula>
    </cfRule>
  </conditionalFormatting>
  <hyperlinks>
    <hyperlink ref="S7:S8" location="'Procedura guidata'!A1" display="Torna alla procedura guidata!"/>
  </hyperlinks>
  <printOptions horizontalCentered="1"/>
  <pageMargins left="0.15748031496063" right="0.15748031496063" top="0.275590551181102" bottom="0.275590551181102" header="0.275590551181102" footer="0.511811023622047"/>
  <pageSetup paperSize="9" scale="94" orientation="landscape"/>
  <headerFooter alignWithMargins="0"/>
  <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66"/>
    <pageSetUpPr fitToPage="1"/>
  </sheetPr>
  <dimension ref="A1:Q53"/>
  <sheetViews>
    <sheetView showGridLines="0" showZeros="0" workbookViewId="0">
      <selection activeCell="A1" sqref="A1"/>
    </sheetView>
  </sheetViews>
  <sheetFormatPr defaultColWidth="0" defaultRowHeight="12.75" customHeight="1" zeroHeight="1"/>
  <cols>
    <col min="1" max="1" width="5.71428571428571" style="221" customWidth="1"/>
    <col min="2" max="2" width="9.57142857142857" style="221" customWidth="1"/>
    <col min="3" max="3" width="6.71428571428571" style="221" customWidth="1"/>
    <col min="4" max="5" width="10.7142857142857" style="221" customWidth="1"/>
    <col min="6" max="6" width="1.42857142857143" style="221" hidden="1" customWidth="1"/>
    <col min="7" max="7" width="5.42857142857143" style="221" hidden="1" customWidth="1"/>
    <col min="8" max="8" width="10.7142857142857" style="221" customWidth="1"/>
    <col min="9" max="9" width="5.71428571428571" style="221" customWidth="1"/>
    <col min="10" max="10" width="10.7142857142857" style="221" customWidth="1"/>
    <col min="11" max="11" width="6.71428571428571" style="221" customWidth="1"/>
    <col min="12" max="12" width="9" style="221" customWidth="1"/>
    <col min="13" max="13" width="3.71428571428571" style="221" customWidth="1"/>
    <col min="14" max="14" width="16.7142857142857" style="221" customWidth="1"/>
    <col min="15" max="16" width="5.71428571428571" style="221" customWidth="1"/>
    <col min="17" max="17" width="18.7142857142857" style="221" customWidth="1"/>
    <col min="18" max="18" width="6.28571428571429" style="221" hidden="1" customWidth="1"/>
    <col min="19" max="19" width="13.4285714285714" style="221" hidden="1" customWidth="1"/>
    <col min="20" max="20" width="4.42857142857143" style="221" hidden="1" customWidth="1"/>
    <col min="21" max="21" width="3.71428571428571" style="221" hidden="1" customWidth="1"/>
    <col min="22" max="22" width="8.42857142857143" style="221" hidden="1" customWidth="1"/>
    <col min="23" max="23" width="6.71428571428571" style="221" hidden="1" customWidth="1"/>
    <col min="24" max="24" width="9.42857142857143" style="221" hidden="1" customWidth="1"/>
    <col min="25" max="25" width="4.71428571428571" style="221" hidden="1" customWidth="1"/>
    <col min="26" max="26" width="3.57142857142857" style="221" hidden="1" customWidth="1"/>
    <col min="27" max="27" width="12.4285714285714" style="221" hidden="1" customWidth="1"/>
    <col min="28" max="28" width="14.2857142857143" style="221" hidden="1" customWidth="1"/>
    <col min="29" max="16384" width="9.14285714285714" style="221" hidden="1"/>
  </cols>
  <sheetData>
    <row r="1" s="449" customFormat="1" ht="15" customHeight="1" spans="1:17">
      <c r="A1" s="451"/>
      <c r="B1" s="452" t="s">
        <v>256</v>
      </c>
      <c r="C1" s="452"/>
      <c r="D1" s="452"/>
      <c r="E1" s="452"/>
      <c r="F1" s="452"/>
      <c r="G1" s="452"/>
      <c r="H1" s="452"/>
      <c r="I1" s="452"/>
      <c r="J1" s="452"/>
      <c r="K1" s="452"/>
      <c r="L1" s="452"/>
      <c r="M1" s="452"/>
      <c r="N1" s="452"/>
      <c r="O1" s="452"/>
      <c r="P1" s="452"/>
      <c r="Q1" s="452"/>
    </row>
    <row r="2" s="218" customFormat="1" customHeight="1" spans="1:17">
      <c r="A2" s="453"/>
      <c r="B2" s="225" t="s">
        <v>257</v>
      </c>
      <c r="C2" s="226"/>
      <c r="D2" s="454" t="s">
        <v>4</v>
      </c>
      <c r="E2" s="455"/>
      <c r="F2" s="455"/>
      <c r="G2" s="455"/>
      <c r="H2" s="456"/>
      <c r="I2" s="337"/>
      <c r="J2" s="337"/>
      <c r="K2" s="337"/>
      <c r="L2" s="337"/>
      <c r="M2" s="337"/>
      <c r="N2" s="337"/>
      <c r="O2" s="337"/>
      <c r="P2" s="337"/>
      <c r="Q2" s="313"/>
    </row>
    <row r="3" s="218" customFormat="1" customHeight="1" spans="1:17">
      <c r="A3" s="231"/>
      <c r="B3" s="225" t="s">
        <v>258</v>
      </c>
      <c r="C3" s="226"/>
      <c r="D3" s="454" t="s">
        <v>259</v>
      </c>
      <c r="E3" s="455"/>
      <c r="F3" s="455"/>
      <c r="G3" s="455"/>
      <c r="H3" s="456"/>
      <c r="I3" s="337"/>
      <c r="J3" s="337"/>
      <c r="K3" s="337"/>
      <c r="L3" s="337"/>
      <c r="M3" s="337"/>
      <c r="N3" s="337"/>
      <c r="O3" s="337"/>
      <c r="P3" s="337"/>
      <c r="Q3" s="313"/>
    </row>
    <row r="4" s="218" customFormat="1" customHeight="1" spans="1:17">
      <c r="A4" s="231"/>
      <c r="B4" s="230" t="s">
        <v>169</v>
      </c>
      <c r="C4" s="102"/>
      <c r="D4" s="231"/>
      <c r="E4" s="231"/>
      <c r="F4" s="457" t="s">
        <v>170</v>
      </c>
      <c r="G4" s="231"/>
      <c r="H4" s="231"/>
      <c r="I4" s="231"/>
      <c r="J4" s="231"/>
      <c r="K4" s="231"/>
      <c r="L4" s="231"/>
      <c r="M4" s="231"/>
      <c r="N4" s="231"/>
      <c r="O4" s="231"/>
      <c r="P4" s="231"/>
      <c r="Q4" s="231"/>
    </row>
    <row r="5" customHeight="1" spans="1:17">
      <c r="A5" s="231"/>
      <c r="B5" s="234" t="s">
        <v>171</v>
      </c>
      <c r="C5" s="235"/>
      <c r="D5" s="236" t="s">
        <v>172</v>
      </c>
      <c r="E5" s="236" t="s">
        <v>156</v>
      </c>
      <c r="F5" s="236" t="s">
        <v>173</v>
      </c>
      <c r="G5" s="237"/>
      <c r="H5" s="238" t="s">
        <v>174</v>
      </c>
      <c r="I5" s="236" t="s">
        <v>175</v>
      </c>
      <c r="J5" s="336" t="s">
        <v>176</v>
      </c>
      <c r="K5" s="231"/>
      <c r="L5" s="231"/>
      <c r="M5" s="337"/>
      <c r="N5" s="337"/>
      <c r="O5" s="337"/>
      <c r="P5" s="337"/>
      <c r="Q5" s="313"/>
    </row>
    <row r="6" customHeight="1" spans="1:17">
      <c r="A6" s="231"/>
      <c r="B6" s="239" t="s">
        <v>177</v>
      </c>
      <c r="C6" s="240"/>
      <c r="D6" s="241"/>
      <c r="E6" s="242"/>
      <c r="F6" s="243"/>
      <c r="G6" s="244"/>
      <c r="H6" s="245">
        <f>IF(E6&gt;0,E6/$E$11,0)</f>
        <v>0</v>
      </c>
      <c r="I6" s="1188" t="s">
        <v>178</v>
      </c>
      <c r="J6" s="339">
        <f>H6*I6</f>
        <v>0</v>
      </c>
      <c r="K6" s="231"/>
      <c r="L6" s="231"/>
      <c r="M6" s="337"/>
      <c r="N6" s="337"/>
      <c r="O6" s="337"/>
      <c r="P6" s="337"/>
      <c r="Q6" s="211" t="s">
        <v>30</v>
      </c>
    </row>
    <row r="7" s="218" customFormat="1" customHeight="1" spans="1:17">
      <c r="A7" s="231"/>
      <c r="B7" s="239" t="s">
        <v>179</v>
      </c>
      <c r="C7" s="240"/>
      <c r="D7" s="241"/>
      <c r="E7" s="242"/>
      <c r="F7" s="243"/>
      <c r="G7" s="244"/>
      <c r="H7" s="245">
        <f>IF(E7&gt;0,E7/$E$11,0)</f>
        <v>0</v>
      </c>
      <c r="I7" s="338">
        <v>5</v>
      </c>
      <c r="J7" s="339">
        <f>H7*I7</f>
        <v>0</v>
      </c>
      <c r="K7" s="231"/>
      <c r="L7" s="340"/>
      <c r="M7" s="231"/>
      <c r="N7" s="231"/>
      <c r="O7" s="341" t="s">
        <v>68</v>
      </c>
      <c r="P7" s="342" t="s">
        <v>6</v>
      </c>
      <c r="Q7" s="211"/>
    </row>
    <row r="8" s="218" customFormat="1" customHeight="1" spans="1:16">
      <c r="A8" s="231"/>
      <c r="B8" s="239" t="s">
        <v>180</v>
      </c>
      <c r="C8" s="240"/>
      <c r="D8" s="241"/>
      <c r="E8" s="242">
        <v>0</v>
      </c>
      <c r="F8" s="243"/>
      <c r="G8" s="244"/>
      <c r="H8" s="245">
        <f>IF(E8&gt;0,E8/$E$11,0)</f>
        <v>0</v>
      </c>
      <c r="I8" s="338">
        <v>15</v>
      </c>
      <c r="J8" s="339">
        <f>H8*I8</f>
        <v>0</v>
      </c>
      <c r="K8" s="231"/>
      <c r="L8" s="231"/>
      <c r="M8" s="231"/>
      <c r="N8" s="231"/>
      <c r="O8" s="343"/>
      <c r="P8" s="344"/>
    </row>
    <row r="9" s="218" customFormat="1" customHeight="1" spans="1:16">
      <c r="A9" s="231"/>
      <c r="B9" s="239" t="s">
        <v>181</v>
      </c>
      <c r="C9" s="240"/>
      <c r="D9" s="241"/>
      <c r="E9" s="242"/>
      <c r="F9" s="243"/>
      <c r="G9" s="244"/>
      <c r="H9" s="245">
        <f>IF(E9&gt;0,E9/$E$11,0)</f>
        <v>0</v>
      </c>
      <c r="I9" s="338">
        <v>30</v>
      </c>
      <c r="J9" s="339">
        <f>H9*I9</f>
        <v>0</v>
      </c>
      <c r="K9" s="231"/>
      <c r="L9" s="231"/>
      <c r="M9" s="345" t="s">
        <v>260</v>
      </c>
      <c r="N9" s="346"/>
      <c r="O9" s="343"/>
      <c r="P9" s="344"/>
    </row>
    <row r="10" s="218" customFormat="1" customHeight="1" spans="1:17">
      <c r="A10" s="231"/>
      <c r="B10" s="246" t="s">
        <v>182</v>
      </c>
      <c r="C10" s="247"/>
      <c r="D10" s="248">
        <v>0</v>
      </c>
      <c r="E10" s="249">
        <v>0</v>
      </c>
      <c r="F10" s="250"/>
      <c r="G10" s="251"/>
      <c r="H10" s="252">
        <f>IF(E10&gt;0,E10/$E$11,0)</f>
        <v>0</v>
      </c>
      <c r="I10" s="347">
        <v>50</v>
      </c>
      <c r="J10" s="348">
        <f>H10*I10</f>
        <v>0</v>
      </c>
      <c r="K10" s="231"/>
      <c r="L10" s="231"/>
      <c r="M10" s="345"/>
      <c r="N10" s="346"/>
      <c r="O10" s="343"/>
      <c r="P10" s="344"/>
      <c r="Q10" s="397"/>
    </row>
    <row r="11" s="218" customFormat="1" customHeight="1" spans="1:17">
      <c r="A11" s="231"/>
      <c r="B11" s="231"/>
      <c r="C11" s="231"/>
      <c r="D11" s="253" t="s">
        <v>183</v>
      </c>
      <c r="E11" s="458">
        <f>SUM(E6:E10)</f>
        <v>0</v>
      </c>
      <c r="F11" s="255"/>
      <c r="G11" s="256"/>
      <c r="H11" s="231" t="s">
        <v>0</v>
      </c>
      <c r="I11" s="231"/>
      <c r="J11" s="335" t="s">
        <v>184</v>
      </c>
      <c r="K11" s="349" t="str">
        <f>IF(SUM(J6:J10)&gt;0,SUM(J6:J10),"0")</f>
        <v>0</v>
      </c>
      <c r="L11" s="231"/>
      <c r="M11" s="350"/>
      <c r="N11" s="351"/>
      <c r="O11" s="343"/>
      <c r="P11" s="344"/>
      <c r="Q11" s="397"/>
    </row>
    <row r="12" s="218" customFormat="1" customHeight="1" spans="1:17">
      <c r="A12" s="231"/>
      <c r="B12" s="231"/>
      <c r="C12" s="231"/>
      <c r="D12" s="231"/>
      <c r="E12" s="257"/>
      <c r="F12" s="459"/>
      <c r="G12" s="459"/>
      <c r="H12" s="231"/>
      <c r="I12" s="231"/>
      <c r="J12" s="231"/>
      <c r="K12" s="231"/>
      <c r="L12" s="337"/>
      <c r="M12" s="352" t="s">
        <v>261</v>
      </c>
      <c r="N12" s="353" t="s">
        <v>262</v>
      </c>
      <c r="O12" s="343"/>
      <c r="P12" s="344"/>
      <c r="Q12" s="397"/>
    </row>
    <row r="13" s="218" customFormat="1" customHeight="1" spans="1:17">
      <c r="A13" s="231"/>
      <c r="B13" s="230" t="s">
        <v>263</v>
      </c>
      <c r="C13" s="102"/>
      <c r="D13" s="231"/>
      <c r="E13" s="257"/>
      <c r="F13" s="460"/>
      <c r="G13" s="459"/>
      <c r="H13" s="230" t="s">
        <v>264</v>
      </c>
      <c r="I13" s="231"/>
      <c r="J13" s="231"/>
      <c r="K13" s="337"/>
      <c r="L13" s="331"/>
      <c r="M13" s="355"/>
      <c r="N13" s="356"/>
      <c r="O13" s="343"/>
      <c r="P13" s="344"/>
      <c r="Q13" s="397"/>
    </row>
    <row r="14" s="218" customFormat="1" customHeight="1" spans="1:17">
      <c r="A14" s="231"/>
      <c r="B14" s="234" t="s">
        <v>186</v>
      </c>
      <c r="C14" s="259"/>
      <c r="D14" s="235"/>
      <c r="E14" s="260" t="s">
        <v>265</v>
      </c>
      <c r="F14" s="261"/>
      <c r="G14" s="262"/>
      <c r="H14" s="236" t="s">
        <v>188</v>
      </c>
      <c r="I14" s="236" t="s">
        <v>189</v>
      </c>
      <c r="J14" s="336" t="s">
        <v>176</v>
      </c>
      <c r="K14" s="337"/>
      <c r="L14" s="337"/>
      <c r="M14" s="355"/>
      <c r="N14" s="357"/>
      <c r="O14" s="358"/>
      <c r="P14" s="359"/>
      <c r="Q14" s="313"/>
    </row>
    <row r="15" s="218" customFormat="1" customHeight="1" spans="1:17">
      <c r="A15" s="231"/>
      <c r="B15" s="263" t="s">
        <v>266</v>
      </c>
      <c r="C15" s="264"/>
      <c r="D15" s="265"/>
      <c r="E15" s="266"/>
      <c r="F15" s="267">
        <v>0</v>
      </c>
      <c r="G15" s="268"/>
      <c r="H15" s="269" t="s">
        <v>191</v>
      </c>
      <c r="I15" s="360" t="str">
        <f>IF($H$20&lt;=50,"X",)</f>
        <v>X</v>
      </c>
      <c r="J15" s="361" t="s">
        <v>192</v>
      </c>
      <c r="K15" s="337"/>
      <c r="L15" s="337"/>
      <c r="M15" s="355"/>
      <c r="N15" s="362" t="s">
        <v>267</v>
      </c>
      <c r="O15" s="363">
        <v>0.06</v>
      </c>
      <c r="P15" s="364">
        <v>0.05</v>
      </c>
      <c r="Q15" s="313"/>
    </row>
    <row r="16" s="218" customFormat="1" customHeight="1" spans="1:17">
      <c r="A16" s="231"/>
      <c r="B16" s="270"/>
      <c r="C16" s="271"/>
      <c r="D16" s="272"/>
      <c r="E16" s="273"/>
      <c r="F16" s="274"/>
      <c r="G16" s="268"/>
      <c r="H16" s="269" t="s">
        <v>193</v>
      </c>
      <c r="I16" s="360">
        <f>IF(AND($H$20&lt;=75,$H$20&gt;50.001),"X",)</f>
        <v>0</v>
      </c>
      <c r="J16" s="365">
        <v>10</v>
      </c>
      <c r="K16" s="337"/>
      <c r="L16" s="337"/>
      <c r="M16" s="355"/>
      <c r="N16" s="366" t="s">
        <v>268</v>
      </c>
      <c r="O16" s="367">
        <v>0.08</v>
      </c>
      <c r="P16" s="364">
        <v>0.06</v>
      </c>
      <c r="Q16" s="485"/>
    </row>
    <row r="17" s="218" customFormat="1" customHeight="1" spans="1:17">
      <c r="A17" s="231"/>
      <c r="B17" s="239" t="s">
        <v>194</v>
      </c>
      <c r="C17" s="275"/>
      <c r="D17" s="240"/>
      <c r="E17" s="276"/>
      <c r="F17" s="274">
        <v>0</v>
      </c>
      <c r="G17" s="268"/>
      <c r="H17" s="269" t="s">
        <v>195</v>
      </c>
      <c r="I17" s="360">
        <f>IF(AND($H$20&lt;=100,$H$20&gt;75.1),"X",)</f>
        <v>0</v>
      </c>
      <c r="J17" s="365">
        <v>20</v>
      </c>
      <c r="K17" s="337"/>
      <c r="L17" s="337"/>
      <c r="M17" s="355"/>
      <c r="N17" s="368" t="s">
        <v>269</v>
      </c>
      <c r="O17" s="369">
        <v>0.18</v>
      </c>
      <c r="P17" s="370">
        <v>0.1</v>
      </c>
      <c r="Q17" s="486"/>
    </row>
    <row r="18" s="218" customFormat="1" customHeight="1" spans="1:17">
      <c r="A18" s="231"/>
      <c r="B18" s="239" t="s">
        <v>196</v>
      </c>
      <c r="C18" s="275"/>
      <c r="D18" s="240"/>
      <c r="E18" s="277"/>
      <c r="F18" s="274">
        <v>0</v>
      </c>
      <c r="G18" s="268"/>
      <c r="H18" s="278" t="s">
        <v>197</v>
      </c>
      <c r="I18" s="371">
        <f>IF($H$20&gt;100.001,"X",)</f>
        <v>0</v>
      </c>
      <c r="J18" s="372">
        <v>30</v>
      </c>
      <c r="K18" s="231"/>
      <c r="L18" s="231"/>
      <c r="M18" s="355"/>
      <c r="N18" s="366" t="s">
        <v>270</v>
      </c>
      <c r="O18" s="369">
        <v>0.08</v>
      </c>
      <c r="P18" s="370">
        <v>0.08</v>
      </c>
      <c r="Q18" s="486"/>
    </row>
    <row r="19" s="218" customFormat="1" customHeight="1" spans="1:17">
      <c r="A19" s="231"/>
      <c r="B19" s="246" t="s">
        <v>198</v>
      </c>
      <c r="C19" s="279"/>
      <c r="D19" s="247"/>
      <c r="E19" s="280"/>
      <c r="F19" s="281">
        <v>0</v>
      </c>
      <c r="G19" s="282"/>
      <c r="H19" s="231" t="s">
        <v>202</v>
      </c>
      <c r="I19" s="231"/>
      <c r="J19" s="335" t="s">
        <v>199</v>
      </c>
      <c r="K19" s="373" t="str">
        <f>VLOOKUP("X",$I$15:$J$18,2,FALSE)</f>
        <v>-</v>
      </c>
      <c r="L19" s="231"/>
      <c r="M19" s="355"/>
      <c r="N19" s="366" t="s">
        <v>271</v>
      </c>
      <c r="O19" s="369">
        <v>0.08</v>
      </c>
      <c r="P19" s="370">
        <v>0.08</v>
      </c>
      <c r="Q19" s="485"/>
    </row>
    <row r="20" s="218" customFormat="1" customHeight="1" spans="1:17">
      <c r="A20" s="231"/>
      <c r="B20" s="231"/>
      <c r="C20" s="231"/>
      <c r="D20" s="253" t="s">
        <v>200</v>
      </c>
      <c r="E20" s="458">
        <f>SUM(E15:E19)</f>
        <v>0</v>
      </c>
      <c r="F20" s="283">
        <f>SUM(F15:F19)</f>
        <v>0</v>
      </c>
      <c r="G20" s="284"/>
      <c r="H20" s="285">
        <f>IF(ISERROR(E20/E11*100),,(E20/E11*100))</f>
        <v>0</v>
      </c>
      <c r="I20" s="231" t="s">
        <v>201</v>
      </c>
      <c r="J20" s="231"/>
      <c r="K20" s="231"/>
      <c r="L20" s="231"/>
      <c r="M20" s="374"/>
      <c r="N20" s="375" t="s">
        <v>272</v>
      </c>
      <c r="O20" s="376">
        <v>0.08</v>
      </c>
      <c r="P20" s="377">
        <v>0.08</v>
      </c>
      <c r="Q20" s="397"/>
    </row>
    <row r="21" customHeight="1" spans="1:17">
      <c r="A21" s="231"/>
      <c r="B21" s="231"/>
      <c r="C21" s="231"/>
      <c r="D21" s="231"/>
      <c r="E21" s="231"/>
      <c r="F21" s="231"/>
      <c r="G21" s="231"/>
      <c r="H21" s="231"/>
      <c r="I21" s="231"/>
      <c r="J21" s="231"/>
      <c r="K21" s="231"/>
      <c r="L21" s="231"/>
      <c r="M21" s="231"/>
      <c r="N21" s="231"/>
      <c r="O21" s="231"/>
      <c r="P21" s="231"/>
      <c r="Q21" s="397"/>
    </row>
    <row r="22" customHeight="1" spans="1:17">
      <c r="A22" s="231"/>
      <c r="B22" s="231"/>
      <c r="C22" s="231"/>
      <c r="D22" s="231"/>
      <c r="E22" s="231"/>
      <c r="F22" s="258"/>
      <c r="G22" s="231"/>
      <c r="H22" s="230" t="s">
        <v>273</v>
      </c>
      <c r="I22" s="231"/>
      <c r="J22" s="231"/>
      <c r="K22" s="231"/>
      <c r="L22" s="231"/>
      <c r="M22" s="231"/>
      <c r="N22" s="231"/>
      <c r="O22" s="231"/>
      <c r="P22" s="231"/>
      <c r="Q22" s="397"/>
    </row>
    <row r="23" customHeight="1" spans="1:17">
      <c r="A23" s="231"/>
      <c r="B23" s="286" t="s">
        <v>222</v>
      </c>
      <c r="C23" s="287"/>
      <c r="D23" s="288"/>
      <c r="E23" s="289"/>
      <c r="F23" s="290"/>
      <c r="G23" s="291"/>
      <c r="H23" s="292" t="s">
        <v>204</v>
      </c>
      <c r="I23" s="236" t="s">
        <v>189</v>
      </c>
      <c r="J23" s="378" t="s">
        <v>176</v>
      </c>
      <c r="K23" s="337"/>
      <c r="L23" s="469" t="s">
        <v>274</v>
      </c>
      <c r="M23" s="469"/>
      <c r="N23" s="469"/>
      <c r="O23" s="469"/>
      <c r="P23" s="469"/>
      <c r="Q23" s="397"/>
    </row>
    <row r="24" s="222" customFormat="1" customHeight="1" spans="1:17">
      <c r="A24" s="231"/>
      <c r="B24" s="239" t="s">
        <v>223</v>
      </c>
      <c r="C24" s="275"/>
      <c r="D24" s="240"/>
      <c r="E24" s="293">
        <f>E11</f>
        <v>0</v>
      </c>
      <c r="F24" s="294">
        <f>F11</f>
        <v>0</v>
      </c>
      <c r="G24" s="295"/>
      <c r="H24" s="269" t="s">
        <v>275</v>
      </c>
      <c r="I24" s="380" t="str">
        <f>IF(COUNTIF($L$24:$L$28,"x")=0,"X",)</f>
        <v>X</v>
      </c>
      <c r="J24" s="1191" t="s">
        <v>192</v>
      </c>
      <c r="K24" s="337"/>
      <c r="L24" s="381" t="s">
        <v>2</v>
      </c>
      <c r="M24" s="382" t="s">
        <v>206</v>
      </c>
      <c r="N24" s="383"/>
      <c r="O24" s="383"/>
      <c r="P24" s="384"/>
      <c r="Q24" s="485"/>
    </row>
    <row r="25" s="219" customFormat="1" customHeight="1" spans="1:17">
      <c r="A25" s="231"/>
      <c r="B25" s="239" t="s">
        <v>224</v>
      </c>
      <c r="C25" s="275"/>
      <c r="D25" s="240"/>
      <c r="E25" s="293">
        <f>E20</f>
        <v>0</v>
      </c>
      <c r="F25" s="294">
        <f>F20</f>
        <v>0</v>
      </c>
      <c r="G25" s="295"/>
      <c r="H25" s="269">
        <v>1</v>
      </c>
      <c r="I25" s="380">
        <f>IF(COUNTIF($L$24:$L$28,"x")=1,"X",)</f>
        <v>0</v>
      </c>
      <c r="J25" s="365">
        <v>10</v>
      </c>
      <c r="K25" s="337"/>
      <c r="L25" s="385" t="s">
        <v>2</v>
      </c>
      <c r="M25" s="386" t="s">
        <v>207</v>
      </c>
      <c r="N25" s="275"/>
      <c r="O25" s="275"/>
      <c r="P25" s="387"/>
      <c r="Q25" s="231"/>
    </row>
    <row r="26" s="219" customFormat="1" customHeight="1" spans="1:17">
      <c r="A26" s="231"/>
      <c r="B26" s="239" t="s">
        <v>225</v>
      </c>
      <c r="C26" s="275"/>
      <c r="D26" s="240"/>
      <c r="E26" s="296">
        <f>60%*E25</f>
        <v>0</v>
      </c>
      <c r="F26" s="294">
        <f>F20*0.6</f>
        <v>0</v>
      </c>
      <c r="G26" s="295"/>
      <c r="H26" s="269">
        <v>2</v>
      </c>
      <c r="I26" s="380">
        <f>IF(COUNTIF($L$24:$L$28,"x")=2,"X",)</f>
        <v>0</v>
      </c>
      <c r="J26" s="365">
        <v>20</v>
      </c>
      <c r="K26" s="337"/>
      <c r="L26" s="385" t="s">
        <v>2</v>
      </c>
      <c r="M26" s="388" t="s">
        <v>276</v>
      </c>
      <c r="N26" s="389"/>
      <c r="O26" s="389"/>
      <c r="P26" s="390"/>
      <c r="Q26" s="231"/>
    </row>
    <row r="27" s="219" customFormat="1" customHeight="1" spans="1:17">
      <c r="A27" s="231"/>
      <c r="B27" s="239" t="s">
        <v>277</v>
      </c>
      <c r="C27" s="275"/>
      <c r="D27" s="240"/>
      <c r="E27" s="297">
        <f>SUM(E24,E26)</f>
        <v>0</v>
      </c>
      <c r="F27" s="294"/>
      <c r="G27" s="298"/>
      <c r="H27" s="269">
        <v>3</v>
      </c>
      <c r="I27" s="380">
        <f>IF(COUNTIF($L$24:$L$28,"x")=3,"X",)</f>
        <v>0</v>
      </c>
      <c r="J27" s="365">
        <v>30</v>
      </c>
      <c r="K27" s="231"/>
      <c r="L27" s="385" t="s">
        <v>2</v>
      </c>
      <c r="M27" s="386" t="s">
        <v>209</v>
      </c>
      <c r="N27" s="275"/>
      <c r="O27" s="275"/>
      <c r="P27" s="387"/>
      <c r="Q27" s="231"/>
    </row>
    <row r="28" s="219" customFormat="1" customHeight="1" spans="1:17">
      <c r="A28" s="231"/>
      <c r="B28" s="246"/>
      <c r="C28" s="279"/>
      <c r="D28" s="247"/>
      <c r="E28" s="461"/>
      <c r="F28" s="300">
        <f>F24+F26</f>
        <v>0</v>
      </c>
      <c r="G28" s="295"/>
      <c r="H28" s="269">
        <v>4</v>
      </c>
      <c r="I28" s="380">
        <f>IF(COUNTIF($L$24:$L$28,"x")=4,"X",)</f>
        <v>0</v>
      </c>
      <c r="J28" s="365">
        <v>40</v>
      </c>
      <c r="K28" s="231"/>
      <c r="L28" s="391" t="s">
        <v>2</v>
      </c>
      <c r="M28" s="392" t="s">
        <v>210</v>
      </c>
      <c r="N28" s="279"/>
      <c r="O28" s="279"/>
      <c r="P28" s="393"/>
      <c r="Q28" s="231"/>
    </row>
    <row r="29" s="219" customFormat="1" customHeight="1" spans="1:17">
      <c r="A29" s="231"/>
      <c r="B29" s="231"/>
      <c r="C29" s="231"/>
      <c r="D29" s="231"/>
      <c r="E29" s="301"/>
      <c r="F29" s="302"/>
      <c r="G29" s="256"/>
      <c r="H29" s="303">
        <v>5</v>
      </c>
      <c r="I29" s="394">
        <f>IF(COUNTIF($L$24:$L$28,"x")=5,"X",)</f>
        <v>0</v>
      </c>
      <c r="J29" s="372">
        <v>50</v>
      </c>
      <c r="K29" s="231"/>
      <c r="Q29" s="231"/>
    </row>
    <row r="30" s="219" customFormat="1" customHeight="1" spans="1:17">
      <c r="A30" s="231"/>
      <c r="B30" s="231"/>
      <c r="C30" s="231"/>
      <c r="D30" s="231"/>
      <c r="E30" s="231"/>
      <c r="F30" s="304"/>
      <c r="G30" s="305"/>
      <c r="H30" s="231"/>
      <c r="I30" s="231"/>
      <c r="J30" s="335" t="s">
        <v>211</v>
      </c>
      <c r="K30" s="1190" t="str">
        <f>VLOOKUP("X",I24:J29,2,FALSE)</f>
        <v>-</v>
      </c>
      <c r="L30" s="396"/>
      <c r="M30" s="231"/>
      <c r="N30" s="231"/>
      <c r="O30" s="231"/>
      <c r="P30" s="337"/>
      <c r="Q30" s="486"/>
    </row>
    <row r="31" s="219" customFormat="1" customHeight="1" spans="1:17">
      <c r="A31" s="231"/>
      <c r="B31" s="286" t="s">
        <v>228</v>
      </c>
      <c r="C31" s="287"/>
      <c r="D31" s="287"/>
      <c r="E31" s="306"/>
      <c r="F31" s="307"/>
      <c r="G31" s="305"/>
      <c r="H31" s="231"/>
      <c r="I31" s="231"/>
      <c r="J31" s="231"/>
      <c r="K31" s="397" t="s">
        <v>88</v>
      </c>
      <c r="L31" s="231" t="s">
        <v>212</v>
      </c>
      <c r="M31" s="398" t="s">
        <v>278</v>
      </c>
      <c r="N31" s="398"/>
      <c r="O31" s="231"/>
      <c r="P31" s="337"/>
      <c r="Q31" s="485"/>
    </row>
    <row r="32" s="219" customFormat="1" customHeight="1" spans="1:17">
      <c r="A32" s="231"/>
      <c r="B32" s="239" t="s">
        <v>229</v>
      </c>
      <c r="C32" s="275"/>
      <c r="D32" s="240"/>
      <c r="E32" s="462"/>
      <c r="F32" s="309"/>
      <c r="G32" s="305"/>
      <c r="H32" s="231"/>
      <c r="I32" s="399" t="s">
        <v>213</v>
      </c>
      <c r="J32" s="400"/>
      <c r="K32" s="470">
        <f>SUM(K30,K19,K11)</f>
        <v>0</v>
      </c>
      <c r="L32" s="401" t="str">
        <f>IF(CCSF_DettContCostoCost_SommaIncrementi=0,"I",IF(ISERROR(MATCH(CCSF_DettContCostoCost_SommaIncrementi,Parametri_MinClassi,1))=TRUE,INDEX(Parametri_Classi,1,1),INDEX(Parametri_Classi,MATCH(CCSF_DettContCostoCost_SommaIncrementi,Parametri_MinClassi,1),1)))</f>
        <v>I</v>
      </c>
      <c r="M32" s="401">
        <f>IF(CCSF_DettContCostoCost_SommaIncrementi=0,0,IF(ISERROR(MATCH(CCSF_DettContCostoCost_SommaIncrementi,Parametri_MinClassi,1))=TRUE,INDEX(Parametri_Classi,1,4),INDEX(Parametri_Classi,MATCH(CCSF_DettContCostoCost_SommaIncrementi,Parametri_MinClassi,1),4)))</f>
        <v>0</v>
      </c>
      <c r="N32" s="402"/>
      <c r="O32" s="231"/>
      <c r="P32" s="337"/>
      <c r="Q32" s="485"/>
    </row>
    <row r="33" s="219" customFormat="1" customHeight="1" spans="1:17">
      <c r="A33" s="231"/>
      <c r="B33" s="239" t="s">
        <v>230</v>
      </c>
      <c r="C33" s="275"/>
      <c r="D33" s="240"/>
      <c r="E33" s="462"/>
      <c r="F33" s="309"/>
      <c r="G33" s="305"/>
      <c r="H33" s="231"/>
      <c r="I33" s="231"/>
      <c r="J33" s="231"/>
      <c r="K33" s="231"/>
      <c r="L33" s="231"/>
      <c r="M33" s="231"/>
      <c r="N33" s="231"/>
      <c r="O33" s="231"/>
      <c r="P33" s="337"/>
      <c r="Q33" s="231"/>
    </row>
    <row r="34" s="219" customFormat="1" customHeight="1" spans="1:17">
      <c r="A34" s="231"/>
      <c r="B34" s="239" t="s">
        <v>231</v>
      </c>
      <c r="C34" s="275"/>
      <c r="D34" s="240"/>
      <c r="E34" s="463">
        <f>E33*0.6</f>
        <v>0</v>
      </c>
      <c r="F34" s="309">
        <f>F33*0.6</f>
        <v>0</v>
      </c>
      <c r="G34" s="305"/>
      <c r="H34" s="231"/>
      <c r="I34" s="399" t="s">
        <v>279</v>
      </c>
      <c r="J34" s="403"/>
      <c r="K34" s="400"/>
      <c r="L34" s="404">
        <f>IF(Cc_Modalitacalcolo="Calcolo costo costruzione",E27+E35,0)</f>
        <v>0</v>
      </c>
      <c r="M34" s="231" t="s">
        <v>235</v>
      </c>
      <c r="N34" s="231"/>
      <c r="O34" s="231"/>
      <c r="P34" s="337"/>
      <c r="Q34" s="231"/>
    </row>
    <row r="35" s="219" customFormat="1" customHeight="1" spans="1:17">
      <c r="A35" s="231"/>
      <c r="B35" s="246" t="s">
        <v>232</v>
      </c>
      <c r="C35" s="279"/>
      <c r="D35" s="247"/>
      <c r="E35" s="464">
        <f>E32+E34</f>
        <v>0</v>
      </c>
      <c r="F35" s="312">
        <v>0</v>
      </c>
      <c r="G35" s="305"/>
      <c r="H35" s="231"/>
      <c r="I35" s="231" t="s">
        <v>280</v>
      </c>
      <c r="J35" s="231"/>
      <c r="K35" s="231"/>
      <c r="L35" s="407">
        <f>L34</f>
        <v>0</v>
      </c>
      <c r="M35" s="231"/>
      <c r="N35" s="231"/>
      <c r="O35" s="231"/>
      <c r="P35" s="231"/>
      <c r="Q35" s="231"/>
    </row>
    <row r="36" s="219" customFormat="1" customHeight="1" spans="1:17">
      <c r="A36" s="231"/>
      <c r="B36" s="313"/>
      <c r="C36" s="314"/>
      <c r="D36" s="314"/>
      <c r="E36" s="314"/>
      <c r="F36" s="300">
        <f>F32+F34</f>
        <v>0</v>
      </c>
      <c r="G36" s="305"/>
      <c r="H36" s="231"/>
      <c r="I36" s="231" t="s">
        <v>281</v>
      </c>
      <c r="J36" s="231"/>
      <c r="K36" s="231"/>
      <c r="L36" s="231"/>
      <c r="M36" s="231"/>
      <c r="N36" s="231"/>
      <c r="O36" s="231"/>
      <c r="P36" s="231"/>
      <c r="Q36" s="231"/>
    </row>
    <row r="37" s="219" customFormat="1" customHeight="1" spans="1:17">
      <c r="A37" s="231"/>
      <c r="B37" s="231"/>
      <c r="C37" s="465"/>
      <c r="D37" s="231"/>
      <c r="E37" s="231"/>
      <c r="F37" s="466"/>
      <c r="G37" s="305"/>
      <c r="H37" s="231"/>
      <c r="I37" s="408" t="s">
        <v>227</v>
      </c>
      <c r="J37" s="409"/>
      <c r="K37" s="382" t="s">
        <v>282</v>
      </c>
      <c r="L37" s="410"/>
      <c r="M37" s="411" t="s">
        <v>283</v>
      </c>
      <c r="N37" s="471">
        <v>0</v>
      </c>
      <c r="O37" s="472"/>
      <c r="P37" s="231"/>
      <c r="Q37" s="231"/>
    </row>
    <row r="38" s="219" customFormat="1" customHeight="1" spans="1:17">
      <c r="A38" s="231"/>
      <c r="B38" s="231"/>
      <c r="C38" s="465"/>
      <c r="D38" s="231"/>
      <c r="E38" s="231"/>
      <c r="F38" s="466"/>
      <c r="G38" s="305"/>
      <c r="H38" s="231"/>
      <c r="I38" s="414"/>
      <c r="J38" s="415"/>
      <c r="K38" s="392" t="s">
        <v>284</v>
      </c>
      <c r="L38" s="247"/>
      <c r="M38" s="416" t="s">
        <v>285</v>
      </c>
      <c r="N38" s="473"/>
      <c r="O38" s="474"/>
      <c r="P38" s="231"/>
      <c r="Q38" s="231"/>
    </row>
    <row r="39" s="219" customFormat="1" customHeight="1" spans="2:17">
      <c r="B39" s="317" t="s">
        <v>286</v>
      </c>
      <c r="C39" s="317"/>
      <c r="D39" s="317"/>
      <c r="E39" s="317"/>
      <c r="F39" s="317"/>
      <c r="G39" s="317"/>
      <c r="H39" s="317"/>
      <c r="I39" s="102"/>
      <c r="J39" s="315"/>
      <c r="K39" s="231"/>
      <c r="L39" s="231"/>
      <c r="M39" s="231"/>
      <c r="N39" s="475"/>
      <c r="O39" s="476"/>
      <c r="P39" s="231"/>
      <c r="Q39" s="231"/>
    </row>
    <row r="40" s="219" customFormat="1" customHeight="1" spans="2:17">
      <c r="B40" s="318" t="s">
        <v>287</v>
      </c>
      <c r="C40" s="318"/>
      <c r="D40" s="318"/>
      <c r="E40" s="318"/>
      <c r="F40" s="467"/>
      <c r="G40" s="305"/>
      <c r="H40" s="102"/>
      <c r="I40" s="102"/>
      <c r="J40" s="421"/>
      <c r="K40" s="421"/>
      <c r="L40" s="421"/>
      <c r="M40" s="423"/>
      <c r="N40" s="477">
        <f>IF(DettaglioCostoCostruz_TipoIntervento="Nuova costruzione",CostoBase_NuovaEdif,CostoBase_Ristrutturaz)</f>
        <v>487.94</v>
      </c>
      <c r="O40" s="478"/>
      <c r="P40" s="231"/>
      <c r="Q40" s="231"/>
    </row>
    <row r="41" s="219" customFormat="1" customHeight="1" spans="2:17">
      <c r="B41" s="318" t="s">
        <v>288</v>
      </c>
      <c r="C41" s="318"/>
      <c r="D41" s="318"/>
      <c r="E41" s="318"/>
      <c r="F41" s="467"/>
      <c r="G41" s="305"/>
      <c r="H41" s="426"/>
      <c r="I41" s="426"/>
      <c r="J41" s="426"/>
      <c r="K41" s="426"/>
      <c r="L41" s="426"/>
      <c r="M41" s="423"/>
      <c r="N41" s="477">
        <f>N40*(1+M32/100)</f>
        <v>487.94</v>
      </c>
      <c r="O41" s="478"/>
      <c r="P41" s="231"/>
      <c r="Q41" s="231"/>
    </row>
    <row r="42" s="219" customFormat="1" customHeight="1" spans="2:17">
      <c r="B42" s="318" t="s">
        <v>289</v>
      </c>
      <c r="C42" s="318"/>
      <c r="D42" s="318"/>
      <c r="E42" s="318"/>
      <c r="F42" s="467"/>
      <c r="G42" s="305"/>
      <c r="H42" s="426"/>
      <c r="I42" s="426"/>
      <c r="J42" s="426"/>
      <c r="K42" s="426"/>
      <c r="L42" s="426"/>
      <c r="M42" s="423"/>
      <c r="N42" s="477">
        <f>L35*N41</f>
        <v>0</v>
      </c>
      <c r="O42" s="478"/>
      <c r="P42" s="231"/>
      <c r="Q42" s="231"/>
    </row>
    <row r="43" s="219" customFormat="1" customHeight="1" spans="2:17">
      <c r="B43" s="317" t="s">
        <v>244</v>
      </c>
      <c r="C43" s="317"/>
      <c r="D43" s="317"/>
      <c r="E43" s="317"/>
      <c r="F43" s="467"/>
      <c r="G43" s="305"/>
      <c r="H43" s="102"/>
      <c r="I43" s="102"/>
      <c r="J43" s="102"/>
      <c r="K43" s="397" t="s">
        <v>245</v>
      </c>
      <c r="L43" s="102"/>
      <c r="M43" s="102"/>
      <c r="N43" s="479"/>
      <c r="O43" s="480"/>
      <c r="P43" s="231"/>
      <c r="Q43" s="231"/>
    </row>
    <row r="44" s="219" customFormat="1" customHeight="1" spans="2:17">
      <c r="B44" s="318" t="s">
        <v>290</v>
      </c>
      <c r="C44" s="318"/>
      <c r="D44" s="318"/>
      <c r="E44" s="318"/>
      <c r="F44" s="467"/>
      <c r="G44" s="305"/>
      <c r="H44" s="323" t="s">
        <v>291</v>
      </c>
      <c r="I44" s="102"/>
      <c r="J44" s="102"/>
      <c r="K44" s="429">
        <f>IF(ISERROR(MATCH(CCSF_DettContCostoCost_SommaIncrementi,Parametri_MinClassi,1))=TRUE,INDEX(Parametri_Classi,1,IF(DettaglioCostoCostruz_TipoIntervento="Ristrutturazione",6,5)),INDEX(Parametri_Classi,MATCH(CCSF_DettContCostoCost_SommaIncrementi,Parametri_MinClassi,1),IF(DettaglioCostoCostruz_TipoIntervento="Ristrutturazione",6,5)))</f>
        <v>6</v>
      </c>
      <c r="L44" s="481" t="s">
        <v>0</v>
      </c>
      <c r="M44" s="423"/>
      <c r="N44" s="477">
        <f>N42*K44/100</f>
        <v>0</v>
      </c>
      <c r="O44" s="478"/>
      <c r="P44" s="231"/>
      <c r="Q44" s="231" t="s">
        <v>292</v>
      </c>
    </row>
    <row r="45" s="219" customFormat="1" customHeight="1" spans="2:17">
      <c r="B45" s="318" t="s">
        <v>293</v>
      </c>
      <c r="C45" s="318"/>
      <c r="D45" s="318"/>
      <c r="E45" s="318"/>
      <c r="F45" s="467"/>
      <c r="G45" s="305"/>
      <c r="H45" s="323" t="s">
        <v>294</v>
      </c>
      <c r="I45" s="102"/>
      <c r="J45" s="102"/>
      <c r="K45" s="429">
        <f>IF(ISERROR(MATCH(CCSF_DettContCostoCost_SommaIncrementi,Parametri_MinClassi,1))=TRUE,INDEX(Parametri_Classi,1,IF(DettaglioCostoCostruz_TipoIntervento="Ristrutturazione",6,5)),INDEX(Parametri_Classi,MATCH(CCSF_DettContCostoCost_SommaIncrementi,Parametri_MinClassi,1),IF(DettaglioCostoCostruz_TipoIntervento="Ristrutturazione",6,5)))</f>
        <v>6</v>
      </c>
      <c r="L45" s="482" t="s">
        <v>0</v>
      </c>
      <c r="M45" s="423"/>
      <c r="N45" s="477">
        <f>N37*K45/100</f>
        <v>0</v>
      </c>
      <c r="O45" s="478"/>
      <c r="P45" s="231"/>
      <c r="Q45" s="337"/>
    </row>
    <row r="46" s="219" customFormat="1" customHeight="1" spans="2:17">
      <c r="B46" s="318" t="s">
        <v>295</v>
      </c>
      <c r="C46" s="318"/>
      <c r="D46" s="318"/>
      <c r="E46" s="318"/>
      <c r="F46" s="467"/>
      <c r="G46" s="305"/>
      <c r="H46" s="323" t="s">
        <v>296</v>
      </c>
      <c r="I46" s="102"/>
      <c r="J46" s="315"/>
      <c r="K46" s="432">
        <f>IF(DettaglioCostoCostruz_TipoIntervento="Nuova costruzione",Parametri_Aliquota_terziario_nuova_costr,Parametri_Aliquota_terziario_ristrutt)</f>
        <v>0.1</v>
      </c>
      <c r="L46" s="482" t="s">
        <v>0</v>
      </c>
      <c r="M46" s="423"/>
      <c r="N46" s="477">
        <f>N38*K46</f>
        <v>0</v>
      </c>
      <c r="O46" s="478"/>
      <c r="P46" s="231"/>
      <c r="Q46" s="337"/>
    </row>
    <row r="47" s="218" customFormat="1" customHeight="1" spans="2:17">
      <c r="B47" s="325" t="s">
        <v>250</v>
      </c>
      <c r="C47" s="325"/>
      <c r="D47" s="325"/>
      <c r="E47" s="325"/>
      <c r="F47" s="305"/>
      <c r="G47" s="305"/>
      <c r="H47" s="421"/>
      <c r="I47" s="421"/>
      <c r="J47" s="421"/>
      <c r="K47" s="421"/>
      <c r="L47" s="421" t="s">
        <v>0</v>
      </c>
      <c r="M47" s="423"/>
      <c r="N47" s="477">
        <f>N44+N45+N46</f>
        <v>0</v>
      </c>
      <c r="O47" s="478"/>
      <c r="P47" s="231"/>
      <c r="Q47" s="231"/>
    </row>
    <row r="48" s="218" customFormat="1" customHeight="1" spans="2:17">
      <c r="B48" s="317" t="s">
        <v>251</v>
      </c>
      <c r="C48" s="317"/>
      <c r="D48" s="317"/>
      <c r="E48" s="317"/>
      <c r="F48" s="322"/>
      <c r="G48" s="322"/>
      <c r="H48" s="102"/>
      <c r="I48" s="102"/>
      <c r="J48" s="102"/>
      <c r="K48" s="102"/>
      <c r="L48" s="102"/>
      <c r="M48" s="102"/>
      <c r="N48" s="483"/>
      <c r="O48" s="480"/>
      <c r="P48" s="231"/>
      <c r="Q48" s="337"/>
    </row>
    <row r="49" s="218" customFormat="1" customHeight="1" spans="2:17">
      <c r="B49" s="318" t="s">
        <v>252</v>
      </c>
      <c r="C49" s="318"/>
      <c r="D49" s="318"/>
      <c r="E49" s="318"/>
      <c r="F49" s="322"/>
      <c r="G49" s="322"/>
      <c r="H49" s="421"/>
      <c r="I49" s="421"/>
      <c r="J49" s="421"/>
      <c r="K49" s="421"/>
      <c r="L49" s="421"/>
      <c r="M49" s="423"/>
      <c r="N49" s="437"/>
      <c r="O49" s="438"/>
      <c r="P49" s="231"/>
      <c r="Q49" s="337"/>
    </row>
    <row r="50" s="218" customFormat="1" customHeight="1" spans="2:17">
      <c r="B50" s="318" t="s">
        <v>254</v>
      </c>
      <c r="C50" s="318"/>
      <c r="D50" s="318"/>
      <c r="E50" s="318"/>
      <c r="F50" s="322"/>
      <c r="G50" s="322"/>
      <c r="H50" s="426"/>
      <c r="I50" s="426"/>
      <c r="J50" s="426"/>
      <c r="K50" s="426"/>
      <c r="L50" s="426"/>
      <c r="M50" s="423"/>
      <c r="N50" s="437"/>
      <c r="O50" s="438"/>
      <c r="P50" s="231"/>
      <c r="Q50" s="337"/>
    </row>
    <row r="51" s="218" customFormat="1" customHeight="1" spans="1:17">
      <c r="A51" s="219"/>
      <c r="B51" s="219"/>
      <c r="C51" s="323"/>
      <c r="D51" s="323"/>
      <c r="E51" s="323"/>
      <c r="F51" s="330"/>
      <c r="G51" s="330"/>
      <c r="H51" s="331"/>
      <c r="I51" s="331"/>
      <c r="J51" s="331"/>
      <c r="K51" s="337"/>
      <c r="L51" s="337"/>
      <c r="M51" s="337"/>
      <c r="N51" s="337"/>
      <c r="O51" s="337"/>
      <c r="P51" s="231"/>
      <c r="Q51" s="337"/>
    </row>
    <row r="52" s="449" customFormat="1" ht="15" customHeight="1" spans="1:17">
      <c r="A52" s="468"/>
      <c r="B52" s="332" t="s">
        <v>37</v>
      </c>
      <c r="C52" s="332"/>
      <c r="D52" s="332"/>
      <c r="E52" s="332"/>
      <c r="F52" s="332"/>
      <c r="G52" s="332"/>
      <c r="H52" s="332"/>
      <c r="I52" s="332"/>
      <c r="J52" s="332"/>
      <c r="K52" s="332"/>
      <c r="L52" s="332"/>
      <c r="M52" s="440"/>
      <c r="N52" s="441">
        <f>N47-N49-N50</f>
        <v>0</v>
      </c>
      <c r="O52" s="442"/>
      <c r="P52" s="484"/>
      <c r="Q52" s="487"/>
    </row>
    <row r="53" s="450" customFormat="1" customHeight="1" spans="1:17">
      <c r="A53" s="231"/>
      <c r="B53" s="231"/>
      <c r="C53" s="231"/>
      <c r="D53" s="231"/>
      <c r="E53" s="231"/>
      <c r="F53" s="233"/>
      <c r="G53" s="233"/>
      <c r="H53" s="231"/>
      <c r="I53" s="231"/>
      <c r="J53" s="231"/>
      <c r="K53" s="231"/>
      <c r="L53" s="231"/>
      <c r="M53" s="231"/>
      <c r="N53" s="231"/>
      <c r="O53" s="231"/>
      <c r="P53" s="231"/>
      <c r="Q53" s="337"/>
    </row>
  </sheetData>
  <sheetProtection password="83CC" sheet="1" formatColumns="0" formatRows="0" insertRows="0"/>
  <mergeCells count="72">
    <mergeCell ref="B1:Q1"/>
    <mergeCell ref="B2:C2"/>
    <mergeCell ref="D2:H2"/>
    <mergeCell ref="B3:C3"/>
    <mergeCell ref="D3:H3"/>
    <mergeCell ref="B5:C5"/>
    <mergeCell ref="B6:C6"/>
    <mergeCell ref="B7:C7"/>
    <mergeCell ref="B8:C8"/>
    <mergeCell ref="B9:C9"/>
    <mergeCell ref="B10:C10"/>
    <mergeCell ref="B14:D14"/>
    <mergeCell ref="B17:D17"/>
    <mergeCell ref="B18:D18"/>
    <mergeCell ref="B19:D19"/>
    <mergeCell ref="B23:D23"/>
    <mergeCell ref="L23:P23"/>
    <mergeCell ref="B24:D24"/>
    <mergeCell ref="M24:P24"/>
    <mergeCell ref="B25:D25"/>
    <mergeCell ref="M25:P25"/>
    <mergeCell ref="B26:D26"/>
    <mergeCell ref="M26:P26"/>
    <mergeCell ref="B27:D27"/>
    <mergeCell ref="M27:P27"/>
    <mergeCell ref="B28:D28"/>
    <mergeCell ref="M28:P28"/>
    <mergeCell ref="B31:E31"/>
    <mergeCell ref="M31:N31"/>
    <mergeCell ref="B32:D32"/>
    <mergeCell ref="I32:J32"/>
    <mergeCell ref="M32:N32"/>
    <mergeCell ref="B33:D33"/>
    <mergeCell ref="B34:D34"/>
    <mergeCell ref="I34:K34"/>
    <mergeCell ref="B35:D35"/>
    <mergeCell ref="K37:L37"/>
    <mergeCell ref="N37:O37"/>
    <mergeCell ref="K38:L38"/>
    <mergeCell ref="N38:O38"/>
    <mergeCell ref="B39:H39"/>
    <mergeCell ref="B40:E40"/>
    <mergeCell ref="N40:O40"/>
    <mergeCell ref="B41:E41"/>
    <mergeCell ref="N41:O41"/>
    <mergeCell ref="B42:E42"/>
    <mergeCell ref="N42:O42"/>
    <mergeCell ref="B43:E43"/>
    <mergeCell ref="B44:E44"/>
    <mergeCell ref="N44:O44"/>
    <mergeCell ref="B45:E45"/>
    <mergeCell ref="N45:O45"/>
    <mergeCell ref="B46:E46"/>
    <mergeCell ref="N46:O46"/>
    <mergeCell ref="B47:E47"/>
    <mergeCell ref="N47:O47"/>
    <mergeCell ref="B48:E48"/>
    <mergeCell ref="B49:E49"/>
    <mergeCell ref="N49:O49"/>
    <mergeCell ref="B50:E50"/>
    <mergeCell ref="N50:O50"/>
    <mergeCell ref="B52:M52"/>
    <mergeCell ref="N52:O52"/>
    <mergeCell ref="E15:E16"/>
    <mergeCell ref="M12:M20"/>
    <mergeCell ref="N12:N14"/>
    <mergeCell ref="O7:O14"/>
    <mergeCell ref="P7:P14"/>
    <mergeCell ref="Q6:Q7"/>
    <mergeCell ref="B15:D16"/>
    <mergeCell ref="I37:J38"/>
    <mergeCell ref="M9:N11"/>
  </mergeCells>
  <dataValidations count="3">
    <dataValidation type="list" allowBlank="1" showInputMessage="1" showErrorMessage="1" sqref="D2">
      <formula1>"Nuova costruzione,Ristrutturazione"</formula1>
    </dataValidation>
    <dataValidation type="list" allowBlank="1" showInputMessage="1" showErrorMessage="1" sqref="D3:H3">
      <formula1>"Calcolo costo costruzione,Calcolo classe"</formula1>
    </dataValidation>
    <dataValidation type="list" allowBlank="1" showInputMessage="1" showErrorMessage="1" sqref="L24:L28">
      <formula1>opzioni</formula1>
    </dataValidation>
  </dataValidations>
  <hyperlinks>
    <hyperlink ref="Q6:Q7" location="'Procedura guidata'!A1" display="Torna alla procedura guidata!"/>
  </hyperlinks>
  <pageMargins left="0.236220472440945" right="0.15748031496063" top="0.275590551181102" bottom="0.275590551181102" header="0.275590551181102" footer="0.511811023622047"/>
  <pageSetup paperSize="9" scale="84" orientation="portrait"/>
  <headerFooter alignWithMargins="0"/>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Foglio5">
    <tabColor rgb="FFFFFF66"/>
    <pageSetUpPr fitToPage="1"/>
  </sheetPr>
  <dimension ref="B1:Q53"/>
  <sheetViews>
    <sheetView showGridLines="0" showZeros="0" workbookViewId="0">
      <selection activeCell="A1" sqref="A1"/>
    </sheetView>
  </sheetViews>
  <sheetFormatPr defaultColWidth="0" defaultRowHeight="12.75" zeroHeight="1"/>
  <cols>
    <col min="1" max="1" width="5.71428571428571" style="221" customWidth="1"/>
    <col min="2" max="2" width="9.57142857142857" style="222" customWidth="1"/>
    <col min="3" max="3" width="6.71428571428571" style="222" customWidth="1"/>
    <col min="4" max="5" width="10.7142857142857" style="222" customWidth="1"/>
    <col min="6" max="6" width="1.42857142857143" style="221" hidden="1" customWidth="1"/>
    <col min="7" max="7" width="5.42857142857143" style="221" hidden="1" customWidth="1"/>
    <col min="8" max="8" width="10.7142857142857" style="221" customWidth="1"/>
    <col min="9" max="9" width="5.71428571428571" style="221" customWidth="1"/>
    <col min="10" max="10" width="10.7142857142857" style="221" customWidth="1"/>
    <col min="11" max="11" width="6.71428571428571" style="223" customWidth="1"/>
    <col min="12" max="12" width="9" style="222" customWidth="1"/>
    <col min="13" max="13" width="3.71428571428571" style="222" customWidth="1"/>
    <col min="14" max="14" width="16.7142857142857" style="221" customWidth="1"/>
    <col min="15" max="15" width="5.71428571428571" style="221" customWidth="1"/>
    <col min="16" max="16" width="5.71428571428571" style="222" customWidth="1"/>
    <col min="17" max="17" width="18.7142857142857" style="222" customWidth="1"/>
    <col min="18" max="18" width="6.28571428571429" style="221" hidden="1" customWidth="1"/>
    <col min="19" max="19" width="13.4285714285714" style="221" hidden="1" customWidth="1"/>
    <col min="20" max="20" width="4.42857142857143" style="221" hidden="1" customWidth="1"/>
    <col min="21" max="21" width="3.71428571428571" style="221" hidden="1" customWidth="1"/>
    <col min="22" max="22" width="8.42857142857143" style="221" hidden="1" customWidth="1"/>
    <col min="23" max="23" width="6.71428571428571" style="221" hidden="1" customWidth="1"/>
    <col min="24" max="24" width="9.42857142857143" style="221" hidden="1" customWidth="1"/>
    <col min="25" max="25" width="4.71428571428571" style="221" hidden="1" customWidth="1"/>
    <col min="26" max="26" width="3.57142857142857" style="221" hidden="1" customWidth="1"/>
    <col min="27" max="27" width="12.4285714285714" style="221" hidden="1" customWidth="1"/>
    <col min="28" max="29" width="14.2857142857143" style="221" hidden="1" customWidth="1"/>
    <col min="30" max="16384" width="9.14285714285714" style="221" hidden="1"/>
  </cols>
  <sheetData>
    <row r="1" s="218" customFormat="1" ht="15" customHeight="1" spans="2:17">
      <c r="B1" s="224" t="s">
        <v>297</v>
      </c>
      <c r="C1" s="224"/>
      <c r="D1" s="224"/>
      <c r="E1" s="224"/>
      <c r="F1" s="224"/>
      <c r="G1" s="224"/>
      <c r="H1" s="224"/>
      <c r="I1" s="224"/>
      <c r="J1" s="224"/>
      <c r="K1" s="224"/>
      <c r="L1" s="224"/>
      <c r="M1" s="224"/>
      <c r="N1" s="224"/>
      <c r="O1" s="224"/>
      <c r="P1" s="224"/>
      <c r="Q1" s="443"/>
    </row>
    <row r="2" s="218" customFormat="1" customHeight="1" spans="2:17">
      <c r="B2" s="225" t="s">
        <v>257</v>
      </c>
      <c r="C2" s="226"/>
      <c r="D2" s="227" t="s">
        <v>4</v>
      </c>
      <c r="E2" s="228"/>
      <c r="F2" s="228"/>
      <c r="G2" s="228"/>
      <c r="H2" s="229"/>
      <c r="I2" s="333"/>
      <c r="J2" s="333"/>
      <c r="K2" s="334"/>
      <c r="L2" s="333"/>
      <c r="M2" s="333"/>
      <c r="N2" s="333"/>
      <c r="O2" s="333"/>
      <c r="P2" s="333"/>
      <c r="Q2" s="444"/>
    </row>
    <row r="3" s="218" customFormat="1" customHeight="1" spans="2:17">
      <c r="B3" s="225" t="s">
        <v>258</v>
      </c>
      <c r="C3" s="226"/>
      <c r="D3" s="227" t="s">
        <v>259</v>
      </c>
      <c r="E3" s="228"/>
      <c r="F3" s="228"/>
      <c r="G3" s="228"/>
      <c r="H3" s="229"/>
      <c r="I3" s="333"/>
      <c r="J3" s="333"/>
      <c r="K3" s="334"/>
      <c r="L3" s="333"/>
      <c r="M3" s="333"/>
      <c r="N3" s="333"/>
      <c r="O3" s="333"/>
      <c r="P3" s="333"/>
      <c r="Q3" s="444"/>
    </row>
    <row r="4" s="218" customFormat="1" customHeight="1" spans="2:17">
      <c r="B4" s="230" t="s">
        <v>169</v>
      </c>
      <c r="C4" s="102"/>
      <c r="D4" s="231"/>
      <c r="E4" s="231"/>
      <c r="F4" s="232" t="s">
        <v>170</v>
      </c>
      <c r="G4" s="233"/>
      <c r="H4" s="231"/>
      <c r="I4" s="231"/>
      <c r="J4" s="231"/>
      <c r="K4" s="335"/>
      <c r="L4" s="231"/>
      <c r="M4" s="231"/>
      <c r="N4" s="231"/>
      <c r="O4" s="231"/>
      <c r="P4" s="231"/>
      <c r="Q4" s="219"/>
    </row>
    <row r="5" customHeight="1" spans="2:17">
      <c r="B5" s="234" t="s">
        <v>171</v>
      </c>
      <c r="C5" s="235"/>
      <c r="D5" s="236" t="s">
        <v>172</v>
      </c>
      <c r="E5" s="236" t="s">
        <v>156</v>
      </c>
      <c r="F5" s="236" t="s">
        <v>173</v>
      </c>
      <c r="G5" s="237"/>
      <c r="H5" s="238" t="s">
        <v>174</v>
      </c>
      <c r="I5" s="236" t="s">
        <v>175</v>
      </c>
      <c r="J5" s="336" t="s">
        <v>176</v>
      </c>
      <c r="K5" s="335"/>
      <c r="L5" s="231"/>
      <c r="M5" s="337"/>
      <c r="N5" s="337"/>
      <c r="O5" s="337"/>
      <c r="P5" s="337"/>
      <c r="Q5" s="444"/>
    </row>
    <row r="6" customHeight="1" spans="2:17">
      <c r="B6" s="239" t="s">
        <v>177</v>
      </c>
      <c r="C6" s="240"/>
      <c r="D6" s="241"/>
      <c r="E6" s="242"/>
      <c r="F6" s="243"/>
      <c r="G6" s="244"/>
      <c r="H6" s="245">
        <f>IF(E6&gt;0,E6/$E$11,0)</f>
        <v>0</v>
      </c>
      <c r="I6" s="1188" t="s">
        <v>178</v>
      </c>
      <c r="J6" s="339">
        <f>H6*I6</f>
        <v>0</v>
      </c>
      <c r="K6" s="335"/>
      <c r="L6" s="231"/>
      <c r="M6" s="337"/>
      <c r="N6" s="337"/>
      <c r="O6" s="337"/>
      <c r="P6" s="337"/>
      <c r="Q6" s="211" t="s">
        <v>30</v>
      </c>
    </row>
    <row r="7" s="218" customFormat="1" customHeight="1" spans="2:17">
      <c r="B7" s="239" t="s">
        <v>179</v>
      </c>
      <c r="C7" s="240"/>
      <c r="D7" s="241"/>
      <c r="E7" s="242">
        <v>0</v>
      </c>
      <c r="F7" s="243"/>
      <c r="G7" s="244"/>
      <c r="H7" s="245">
        <f>IF(E7&gt;0,E7/$E$11,0)</f>
        <v>0</v>
      </c>
      <c r="I7" s="338">
        <v>5</v>
      </c>
      <c r="J7" s="339">
        <f>H7*I7</f>
        <v>0</v>
      </c>
      <c r="K7" s="335"/>
      <c r="L7" s="340"/>
      <c r="M7" s="231"/>
      <c r="N7" s="231"/>
      <c r="O7" s="341" t="s">
        <v>68</v>
      </c>
      <c r="P7" s="342" t="s">
        <v>6</v>
      </c>
      <c r="Q7" s="211"/>
    </row>
    <row r="8" s="218" customFormat="1" customHeight="1" spans="2:16">
      <c r="B8" s="239" t="s">
        <v>180</v>
      </c>
      <c r="C8" s="240"/>
      <c r="D8" s="241"/>
      <c r="E8" s="242"/>
      <c r="F8" s="243"/>
      <c r="G8" s="244"/>
      <c r="H8" s="245">
        <f>IF(E8&gt;0,E8/$E$11,0)</f>
        <v>0</v>
      </c>
      <c r="I8" s="338">
        <v>15</v>
      </c>
      <c r="J8" s="339">
        <f>H8*I8</f>
        <v>0</v>
      </c>
      <c r="K8" s="335"/>
      <c r="L8" s="231"/>
      <c r="M8" s="231"/>
      <c r="N8" s="231"/>
      <c r="O8" s="343"/>
      <c r="P8" s="344"/>
    </row>
    <row r="9" s="218" customFormat="1" customHeight="1" spans="2:16">
      <c r="B9" s="239" t="s">
        <v>181</v>
      </c>
      <c r="C9" s="240"/>
      <c r="D9" s="241"/>
      <c r="E9" s="242"/>
      <c r="F9" s="243"/>
      <c r="G9" s="244"/>
      <c r="H9" s="245">
        <f>IF(E9&gt;0,E9/$E$11,0)</f>
        <v>0</v>
      </c>
      <c r="I9" s="338">
        <v>30</v>
      </c>
      <c r="J9" s="339">
        <f>H9*I9</f>
        <v>0</v>
      </c>
      <c r="K9" s="335"/>
      <c r="L9" s="231"/>
      <c r="M9" s="345" t="s">
        <v>260</v>
      </c>
      <c r="N9" s="346"/>
      <c r="O9" s="343"/>
      <c r="P9" s="344"/>
    </row>
    <row r="10" s="218" customFormat="1" customHeight="1" spans="2:17">
      <c r="B10" s="246" t="s">
        <v>182</v>
      </c>
      <c r="C10" s="247"/>
      <c r="D10" s="248"/>
      <c r="E10" s="249"/>
      <c r="F10" s="250"/>
      <c r="G10" s="251"/>
      <c r="H10" s="252">
        <f>IF(E10&gt;0,E10/$E$11,0)</f>
        <v>0</v>
      </c>
      <c r="I10" s="347">
        <v>50</v>
      </c>
      <c r="J10" s="348">
        <f>H10*I10</f>
        <v>0</v>
      </c>
      <c r="K10" s="335"/>
      <c r="L10" s="231"/>
      <c r="M10" s="345"/>
      <c r="N10" s="346"/>
      <c r="O10" s="343"/>
      <c r="P10" s="344"/>
      <c r="Q10" s="445"/>
    </row>
    <row r="11" s="218" customFormat="1" customHeight="1" spans="2:17">
      <c r="B11" s="231"/>
      <c r="C11" s="231"/>
      <c r="D11" s="253" t="s">
        <v>183</v>
      </c>
      <c r="E11" s="254">
        <f>SUM(E6:E10)</f>
        <v>0</v>
      </c>
      <c r="F11" s="255"/>
      <c r="G11" s="256"/>
      <c r="H11" s="231" t="s">
        <v>0</v>
      </c>
      <c r="I11" s="231"/>
      <c r="J11" s="335" t="s">
        <v>184</v>
      </c>
      <c r="K11" s="349" t="str">
        <f>IF(SUM(J6:J10)&gt;0,SUM(J6:J10),"0")</f>
        <v>0</v>
      </c>
      <c r="L11" s="231"/>
      <c r="M11" s="350"/>
      <c r="N11" s="351"/>
      <c r="O11" s="343"/>
      <c r="P11" s="344"/>
      <c r="Q11" s="445"/>
    </row>
    <row r="12" s="218" customFormat="1" customHeight="1" spans="2:17">
      <c r="B12" s="231"/>
      <c r="C12" s="231"/>
      <c r="D12" s="231"/>
      <c r="E12" s="257"/>
      <c r="F12" s="257"/>
      <c r="G12" s="257"/>
      <c r="H12" s="231"/>
      <c r="I12" s="231"/>
      <c r="J12" s="231"/>
      <c r="K12" s="335"/>
      <c r="L12" s="337"/>
      <c r="M12" s="352" t="s">
        <v>261</v>
      </c>
      <c r="N12" s="353" t="s">
        <v>262</v>
      </c>
      <c r="O12" s="343"/>
      <c r="P12" s="344"/>
      <c r="Q12" s="445"/>
    </row>
    <row r="13" s="218" customFormat="1" customHeight="1" spans="2:17">
      <c r="B13" s="230" t="s">
        <v>263</v>
      </c>
      <c r="C13" s="102"/>
      <c r="D13" s="231"/>
      <c r="E13" s="257"/>
      <c r="F13" s="258"/>
      <c r="G13" s="257"/>
      <c r="H13" s="230" t="s">
        <v>264</v>
      </c>
      <c r="I13" s="231"/>
      <c r="J13" s="231"/>
      <c r="K13" s="354"/>
      <c r="L13" s="331"/>
      <c r="M13" s="355"/>
      <c r="N13" s="356"/>
      <c r="O13" s="343"/>
      <c r="P13" s="344"/>
      <c r="Q13" s="445"/>
    </row>
    <row r="14" s="218" customFormat="1" customHeight="1" spans="2:17">
      <c r="B14" s="234" t="s">
        <v>186</v>
      </c>
      <c r="C14" s="259"/>
      <c r="D14" s="235"/>
      <c r="E14" s="260" t="s">
        <v>265</v>
      </c>
      <c r="F14" s="261"/>
      <c r="G14" s="262"/>
      <c r="H14" s="236" t="s">
        <v>188</v>
      </c>
      <c r="I14" s="236" t="s">
        <v>189</v>
      </c>
      <c r="J14" s="336" t="s">
        <v>176</v>
      </c>
      <c r="K14" s="354"/>
      <c r="L14" s="337"/>
      <c r="M14" s="355"/>
      <c r="N14" s="357"/>
      <c r="O14" s="358"/>
      <c r="P14" s="359"/>
      <c r="Q14" s="444"/>
    </row>
    <row r="15" s="218" customFormat="1" customHeight="1" spans="2:17">
      <c r="B15" s="263" t="s">
        <v>266</v>
      </c>
      <c r="C15" s="264"/>
      <c r="D15" s="265"/>
      <c r="E15" s="266"/>
      <c r="F15" s="267">
        <v>0</v>
      </c>
      <c r="G15" s="268"/>
      <c r="H15" s="269" t="s">
        <v>191</v>
      </c>
      <c r="I15" s="360" t="str">
        <f>IF($H$20&lt;=50,"X",)</f>
        <v>X</v>
      </c>
      <c r="J15" s="361" t="s">
        <v>192</v>
      </c>
      <c r="K15" s="354"/>
      <c r="L15" s="337"/>
      <c r="M15" s="355"/>
      <c r="N15" s="362" t="s">
        <v>267</v>
      </c>
      <c r="O15" s="363">
        <v>0.06</v>
      </c>
      <c r="P15" s="364">
        <v>0.05</v>
      </c>
      <c r="Q15" s="444"/>
    </row>
    <row r="16" s="218" customFormat="1" customHeight="1" spans="2:17">
      <c r="B16" s="270"/>
      <c r="C16" s="271"/>
      <c r="D16" s="272"/>
      <c r="E16" s="273"/>
      <c r="F16" s="274"/>
      <c r="G16" s="268"/>
      <c r="H16" s="269" t="s">
        <v>193</v>
      </c>
      <c r="I16" s="360">
        <f>IF(AND($H$20&lt;=75,$H$20&gt;50.001),"X",)</f>
        <v>0</v>
      </c>
      <c r="J16" s="365">
        <v>10</v>
      </c>
      <c r="K16" s="354"/>
      <c r="L16" s="337"/>
      <c r="M16" s="355"/>
      <c r="N16" s="366" t="s">
        <v>268</v>
      </c>
      <c r="O16" s="367">
        <v>0.08</v>
      </c>
      <c r="P16" s="364">
        <v>0.06</v>
      </c>
      <c r="Q16" s="446"/>
    </row>
    <row r="17" s="218" customFormat="1" customHeight="1" spans="2:17">
      <c r="B17" s="239" t="s">
        <v>194</v>
      </c>
      <c r="C17" s="275"/>
      <c r="D17" s="240"/>
      <c r="E17" s="276"/>
      <c r="F17" s="274">
        <v>0</v>
      </c>
      <c r="G17" s="268"/>
      <c r="H17" s="269" t="s">
        <v>195</v>
      </c>
      <c r="I17" s="360">
        <f>IF(AND($H$20&lt;=100,$H$20&gt;75.1),"X",)</f>
        <v>0</v>
      </c>
      <c r="J17" s="365">
        <v>20</v>
      </c>
      <c r="K17" s="354"/>
      <c r="L17" s="337"/>
      <c r="M17" s="355"/>
      <c r="N17" s="368" t="s">
        <v>269</v>
      </c>
      <c r="O17" s="369">
        <v>0.18</v>
      </c>
      <c r="P17" s="370">
        <v>0.1</v>
      </c>
      <c r="Q17" s="447"/>
    </row>
    <row r="18" s="218" customFormat="1" customHeight="1" spans="2:17">
      <c r="B18" s="239" t="s">
        <v>196</v>
      </c>
      <c r="C18" s="275"/>
      <c r="D18" s="240"/>
      <c r="E18" s="277"/>
      <c r="F18" s="274">
        <v>0</v>
      </c>
      <c r="G18" s="268"/>
      <c r="H18" s="278" t="s">
        <v>197</v>
      </c>
      <c r="I18" s="371">
        <f>IF($H$20&gt;100.001,"X",)</f>
        <v>0</v>
      </c>
      <c r="J18" s="372">
        <v>30</v>
      </c>
      <c r="K18" s="335"/>
      <c r="L18" s="231"/>
      <c r="M18" s="355"/>
      <c r="N18" s="366" t="s">
        <v>270</v>
      </c>
      <c r="O18" s="369">
        <v>0.08</v>
      </c>
      <c r="P18" s="370">
        <v>0.08</v>
      </c>
      <c r="Q18" s="447"/>
    </row>
    <row r="19" s="218" customFormat="1" customHeight="1" spans="2:17">
      <c r="B19" s="246" t="s">
        <v>198</v>
      </c>
      <c r="C19" s="279"/>
      <c r="D19" s="247"/>
      <c r="E19" s="280"/>
      <c r="F19" s="281">
        <v>0</v>
      </c>
      <c r="G19" s="282"/>
      <c r="H19" s="231" t="s">
        <v>202</v>
      </c>
      <c r="I19" s="231"/>
      <c r="J19" s="335" t="s">
        <v>199</v>
      </c>
      <c r="K19" s="373" t="str">
        <f>VLOOKUP("X",$I$15:$J$18,2,FALSE)</f>
        <v>-</v>
      </c>
      <c r="L19" s="231"/>
      <c r="M19" s="355"/>
      <c r="N19" s="366" t="s">
        <v>271</v>
      </c>
      <c r="O19" s="369">
        <v>0.08</v>
      </c>
      <c r="P19" s="370">
        <v>0.08</v>
      </c>
      <c r="Q19" s="446"/>
    </row>
    <row r="20" s="218" customFormat="1" customHeight="1" spans="2:17">
      <c r="B20" s="231"/>
      <c r="C20" s="231"/>
      <c r="D20" s="253" t="s">
        <v>200</v>
      </c>
      <c r="E20" s="254">
        <f>SUM(E15:E19)</f>
        <v>0</v>
      </c>
      <c r="F20" s="283">
        <f>SUM(F15:F19)</f>
        <v>0</v>
      </c>
      <c r="G20" s="284"/>
      <c r="H20" s="285">
        <f>IF(ISERROR(E20/E11*100),,(E20/E11*100))</f>
        <v>0</v>
      </c>
      <c r="I20" s="231" t="s">
        <v>201</v>
      </c>
      <c r="J20" s="231"/>
      <c r="K20" s="335"/>
      <c r="L20" s="231"/>
      <c r="M20" s="374"/>
      <c r="N20" s="375" t="s">
        <v>272</v>
      </c>
      <c r="O20" s="376">
        <v>0.08</v>
      </c>
      <c r="P20" s="377">
        <v>0.08</v>
      </c>
      <c r="Q20" s="445"/>
    </row>
    <row r="21" customHeight="1" spans="2:17">
      <c r="B21" s="231"/>
      <c r="C21" s="231"/>
      <c r="D21" s="231"/>
      <c r="E21" s="231"/>
      <c r="F21" s="231"/>
      <c r="G21" s="231"/>
      <c r="H21" s="231"/>
      <c r="I21" s="231"/>
      <c r="J21" s="231"/>
      <c r="K21" s="335"/>
      <c r="L21" s="231"/>
      <c r="M21" s="231"/>
      <c r="N21" s="231"/>
      <c r="O21" s="231"/>
      <c r="P21" s="231"/>
      <c r="Q21" s="445"/>
    </row>
    <row r="22" customHeight="1" spans="2:17">
      <c r="B22" s="231"/>
      <c r="C22" s="231"/>
      <c r="D22" s="231"/>
      <c r="E22" s="231"/>
      <c r="F22" s="258"/>
      <c r="G22" s="231"/>
      <c r="H22" s="230" t="s">
        <v>273</v>
      </c>
      <c r="I22" s="231"/>
      <c r="J22" s="231"/>
      <c r="K22" s="335"/>
      <c r="L22" s="231"/>
      <c r="M22" s="231"/>
      <c r="N22" s="231"/>
      <c r="O22" s="231"/>
      <c r="P22" s="231"/>
      <c r="Q22" s="445"/>
    </row>
    <row r="23" customHeight="1" spans="2:17">
      <c r="B23" s="286" t="s">
        <v>222</v>
      </c>
      <c r="C23" s="287"/>
      <c r="D23" s="288"/>
      <c r="E23" s="289"/>
      <c r="F23" s="290"/>
      <c r="G23" s="291"/>
      <c r="H23" s="292" t="s">
        <v>204</v>
      </c>
      <c r="I23" s="236" t="s">
        <v>189</v>
      </c>
      <c r="J23" s="378" t="s">
        <v>176</v>
      </c>
      <c r="K23" s="354"/>
      <c r="L23" s="379" t="s">
        <v>274</v>
      </c>
      <c r="M23" s="379"/>
      <c r="N23" s="379"/>
      <c r="O23" s="379"/>
      <c r="P23" s="379"/>
      <c r="Q23" s="445"/>
    </row>
    <row r="24" customHeight="1" spans="2:17">
      <c r="B24" s="239" t="s">
        <v>223</v>
      </c>
      <c r="C24" s="275"/>
      <c r="D24" s="240"/>
      <c r="E24" s="293">
        <f>E11</f>
        <v>0</v>
      </c>
      <c r="F24" s="294">
        <f>F11</f>
        <v>0</v>
      </c>
      <c r="G24" s="295"/>
      <c r="H24" s="269" t="s">
        <v>275</v>
      </c>
      <c r="I24" s="380" t="str">
        <f>IF(COUNTIF($L$24:$L$28,"x")=0,"X",)</f>
        <v>X</v>
      </c>
      <c r="J24" s="1191" t="s">
        <v>192</v>
      </c>
      <c r="K24" s="354"/>
      <c r="L24" s="381" t="s">
        <v>2</v>
      </c>
      <c r="M24" s="382" t="s">
        <v>206</v>
      </c>
      <c r="N24" s="383"/>
      <c r="O24" s="383"/>
      <c r="P24" s="384"/>
      <c r="Q24" s="446"/>
    </row>
    <row r="25" s="218" customFormat="1" customHeight="1" spans="2:17">
      <c r="B25" s="239" t="s">
        <v>224</v>
      </c>
      <c r="C25" s="275"/>
      <c r="D25" s="240"/>
      <c r="E25" s="293">
        <f>E20</f>
        <v>0</v>
      </c>
      <c r="F25" s="294">
        <f>F20</f>
        <v>0</v>
      </c>
      <c r="G25" s="295"/>
      <c r="H25" s="269">
        <v>1</v>
      </c>
      <c r="I25" s="380">
        <f>IF(COUNTIF($L$24:$L$28,"x")=1,"X",)</f>
        <v>0</v>
      </c>
      <c r="J25" s="365">
        <v>10</v>
      </c>
      <c r="K25" s="354"/>
      <c r="L25" s="385" t="s">
        <v>2</v>
      </c>
      <c r="M25" s="386" t="s">
        <v>207</v>
      </c>
      <c r="N25" s="275"/>
      <c r="O25" s="275"/>
      <c r="P25" s="387"/>
      <c r="Q25" s="219"/>
    </row>
    <row r="26" s="218" customFormat="1" customHeight="1" spans="2:17">
      <c r="B26" s="239" t="s">
        <v>225</v>
      </c>
      <c r="C26" s="275"/>
      <c r="D26" s="240"/>
      <c r="E26" s="296">
        <f>60%*E25</f>
        <v>0</v>
      </c>
      <c r="F26" s="294">
        <f>F20*0.6</f>
        <v>0</v>
      </c>
      <c r="G26" s="295"/>
      <c r="H26" s="269">
        <v>2</v>
      </c>
      <c r="I26" s="380">
        <f>IF(COUNTIF($L$24:$L$28,"x")=2,"X",)</f>
        <v>0</v>
      </c>
      <c r="J26" s="365">
        <v>20</v>
      </c>
      <c r="K26" s="354"/>
      <c r="L26" s="385" t="s">
        <v>2</v>
      </c>
      <c r="M26" s="388" t="s">
        <v>276</v>
      </c>
      <c r="N26" s="389"/>
      <c r="O26" s="389"/>
      <c r="P26" s="390"/>
      <c r="Q26" s="219"/>
    </row>
    <row r="27" s="218" customFormat="1" customHeight="1" spans="2:17">
      <c r="B27" s="239" t="s">
        <v>277</v>
      </c>
      <c r="C27" s="275"/>
      <c r="D27" s="240"/>
      <c r="E27" s="297">
        <f>SUM(E24,E26)</f>
        <v>0</v>
      </c>
      <c r="F27" s="294"/>
      <c r="G27" s="298"/>
      <c r="H27" s="269">
        <v>3</v>
      </c>
      <c r="I27" s="380">
        <f>IF(COUNTIF($L$24:$L$28,"x")=3,"X",)</f>
        <v>0</v>
      </c>
      <c r="J27" s="365">
        <v>30</v>
      </c>
      <c r="K27" s="335"/>
      <c r="L27" s="385" t="s">
        <v>2</v>
      </c>
      <c r="M27" s="386" t="s">
        <v>209</v>
      </c>
      <c r="N27" s="275"/>
      <c r="O27" s="275"/>
      <c r="P27" s="387"/>
      <c r="Q27" s="219"/>
    </row>
    <row r="28" s="218" customFormat="1" customHeight="1" spans="2:17">
      <c r="B28" s="246"/>
      <c r="C28" s="279"/>
      <c r="D28" s="247"/>
      <c r="E28" s="299"/>
      <c r="F28" s="300">
        <f>F24+F26</f>
        <v>0</v>
      </c>
      <c r="G28" s="295"/>
      <c r="H28" s="269">
        <v>4</v>
      </c>
      <c r="I28" s="380">
        <f>IF(COUNTIF($L$24:$L$28,"x")=4,"X",)</f>
        <v>0</v>
      </c>
      <c r="J28" s="365">
        <v>40</v>
      </c>
      <c r="K28" s="335"/>
      <c r="L28" s="391" t="s">
        <v>2</v>
      </c>
      <c r="M28" s="392" t="s">
        <v>210</v>
      </c>
      <c r="N28" s="279"/>
      <c r="O28" s="279"/>
      <c r="P28" s="393"/>
      <c r="Q28" s="219"/>
    </row>
    <row r="29" s="218" customFormat="1" customHeight="1" spans="2:17">
      <c r="B29" s="231"/>
      <c r="C29" s="231"/>
      <c r="D29" s="231"/>
      <c r="E29" s="301"/>
      <c r="F29" s="302"/>
      <c r="G29" s="256"/>
      <c r="H29" s="303">
        <v>5</v>
      </c>
      <c r="I29" s="394">
        <f>IF(COUNTIF($L$24:$L$28,"x")=5,"X",)</f>
        <v>0</v>
      </c>
      <c r="J29" s="372">
        <v>50</v>
      </c>
      <c r="K29" s="335"/>
      <c r="L29" s="219"/>
      <c r="M29" s="219"/>
      <c r="N29" s="219"/>
      <c r="O29" s="219"/>
      <c r="P29" s="219"/>
      <c r="Q29" s="219"/>
    </row>
    <row r="30" s="218" customFormat="1" customHeight="1" spans="2:17">
      <c r="B30" s="231"/>
      <c r="C30" s="231"/>
      <c r="D30" s="231"/>
      <c r="E30" s="231"/>
      <c r="F30" s="304"/>
      <c r="G30" s="305"/>
      <c r="H30" s="231"/>
      <c r="I30" s="231"/>
      <c r="J30" s="335" t="s">
        <v>211</v>
      </c>
      <c r="K30" s="1190" t="str">
        <f>VLOOKUP("X",I24:J29,2,FALSE)</f>
        <v>-</v>
      </c>
      <c r="L30" s="396"/>
      <c r="M30" s="231"/>
      <c r="N30" s="231"/>
      <c r="O30" s="231"/>
      <c r="P30" s="337"/>
      <c r="Q30" s="447"/>
    </row>
    <row r="31" s="218" customFormat="1" customHeight="1" spans="2:17">
      <c r="B31" s="286" t="s">
        <v>228</v>
      </c>
      <c r="C31" s="287"/>
      <c r="D31" s="287"/>
      <c r="E31" s="306"/>
      <c r="F31" s="307"/>
      <c r="G31" s="305"/>
      <c r="H31" s="231"/>
      <c r="I31" s="231"/>
      <c r="J31" s="231"/>
      <c r="K31" s="397" t="s">
        <v>88</v>
      </c>
      <c r="L31" s="231" t="s">
        <v>212</v>
      </c>
      <c r="M31" s="398" t="s">
        <v>278</v>
      </c>
      <c r="N31" s="398"/>
      <c r="O31" s="231"/>
      <c r="P31" s="337"/>
      <c r="Q31" s="446"/>
    </row>
    <row r="32" s="218" customFormat="1" customHeight="1" spans="2:17">
      <c r="B32" s="239" t="s">
        <v>229</v>
      </c>
      <c r="C32" s="275"/>
      <c r="D32" s="240"/>
      <c r="E32" s="308"/>
      <c r="F32" s="309"/>
      <c r="G32" s="305"/>
      <c r="H32" s="231"/>
      <c r="I32" s="399" t="s">
        <v>213</v>
      </c>
      <c r="J32" s="400"/>
      <c r="K32" s="373">
        <f>SUM(K30,K19,K11)</f>
        <v>0</v>
      </c>
      <c r="L32" s="401" t="str">
        <f>IF(DettContCostoCost_SommaIncrementi=0,"I",IF(ISERROR(MATCH(DettContCostoCost_SommaIncrementi,Parametri_MinClassi,1))=TRUE,INDEX(Parametri_Classi,1,1),INDEX(Parametri_Classi,MATCH(DettContCostoCost_SommaIncrementi,Parametri_MinClassi,1),1)))</f>
        <v>I</v>
      </c>
      <c r="M32" s="401">
        <f>IF(DettContCostoCost_SommaIncrementi=0,0,IF(ISERROR(MATCH(DettContCostoCost_SommaIncrementi,Parametri_MinClassi,1))=TRUE,INDEX(Parametri_Classi,1,4),INDEX(Parametri_Classi,MATCH(DettContCostoCost_SommaIncrementi,Parametri_MinClassi,1),4)))</f>
        <v>0</v>
      </c>
      <c r="N32" s="402"/>
      <c r="O32" s="231"/>
      <c r="P32" s="337"/>
      <c r="Q32" s="446"/>
    </row>
    <row r="33" s="218" customFormat="1" customHeight="1" spans="2:17">
      <c r="B33" s="239" t="s">
        <v>230</v>
      </c>
      <c r="C33" s="275"/>
      <c r="D33" s="240"/>
      <c r="E33" s="308"/>
      <c r="F33" s="309"/>
      <c r="G33" s="305"/>
      <c r="H33" s="231"/>
      <c r="I33" s="231"/>
      <c r="J33" s="231"/>
      <c r="K33" s="335"/>
      <c r="L33" s="231"/>
      <c r="M33" s="231"/>
      <c r="N33" s="231"/>
      <c r="O33" s="231"/>
      <c r="P33" s="337"/>
      <c r="Q33" s="219"/>
    </row>
    <row r="34" s="218" customFormat="1" customHeight="1" spans="2:17">
      <c r="B34" s="239" t="s">
        <v>231</v>
      </c>
      <c r="C34" s="275"/>
      <c r="D34" s="240"/>
      <c r="E34" s="310">
        <f>E33*0.6</f>
        <v>0</v>
      </c>
      <c r="F34" s="309">
        <f>F33*0.6</f>
        <v>0</v>
      </c>
      <c r="G34" s="305"/>
      <c r="H34" s="231"/>
      <c r="I34" s="399" t="s">
        <v>279</v>
      </c>
      <c r="J34" s="403"/>
      <c r="K34" s="400"/>
      <c r="L34" s="404">
        <f>IF(Cc_Modalitacalcolo="Calcolo costo costruzione",E27+E35,0)</f>
        <v>0</v>
      </c>
      <c r="M34" s="231" t="s">
        <v>235</v>
      </c>
      <c r="N34" s="231"/>
      <c r="O34" s="231"/>
      <c r="P34" s="337"/>
      <c r="Q34" s="219"/>
    </row>
    <row r="35" s="218" customFormat="1" customHeight="1" spans="2:17">
      <c r="B35" s="246" t="s">
        <v>232</v>
      </c>
      <c r="C35" s="279"/>
      <c r="D35" s="247"/>
      <c r="E35" s="311">
        <f>E32+E34</f>
        <v>0</v>
      </c>
      <c r="F35" s="312">
        <v>0</v>
      </c>
      <c r="G35" s="305"/>
      <c r="H35" s="231"/>
      <c r="I35" s="405" t="s">
        <v>280</v>
      </c>
      <c r="J35" s="405"/>
      <c r="K35" s="406"/>
      <c r="L35" s="407">
        <f>L34</f>
        <v>0</v>
      </c>
      <c r="M35" s="231"/>
      <c r="N35" s="231"/>
      <c r="O35" s="231"/>
      <c r="P35" s="231"/>
      <c r="Q35" s="219"/>
    </row>
    <row r="36" s="218" customFormat="1" customHeight="1" spans="2:17">
      <c r="B36" s="313"/>
      <c r="C36" s="314"/>
      <c r="D36" s="314"/>
      <c r="E36" s="314"/>
      <c r="F36" s="283">
        <f>F32+F34</f>
        <v>0</v>
      </c>
      <c r="G36" s="315"/>
      <c r="H36" s="231"/>
      <c r="I36" s="231" t="s">
        <v>281</v>
      </c>
      <c r="J36" s="231"/>
      <c r="K36" s="335"/>
      <c r="L36" s="231"/>
      <c r="M36" s="231"/>
      <c r="N36" s="231"/>
      <c r="O36" s="231"/>
      <c r="P36" s="231"/>
      <c r="Q36" s="219"/>
    </row>
    <row r="37" s="218" customFormat="1" customHeight="1" spans="2:17">
      <c r="B37" s="231"/>
      <c r="C37" s="231"/>
      <c r="D37" s="231"/>
      <c r="E37" s="231"/>
      <c r="F37" s="316"/>
      <c r="G37" s="315"/>
      <c r="H37" s="231"/>
      <c r="I37" s="408" t="s">
        <v>227</v>
      </c>
      <c r="J37" s="409"/>
      <c r="K37" s="382" t="s">
        <v>282</v>
      </c>
      <c r="L37" s="410"/>
      <c r="M37" s="411" t="s">
        <v>283</v>
      </c>
      <c r="N37" s="412"/>
      <c r="O37" s="413"/>
      <c r="P37" s="231"/>
      <c r="Q37" s="219"/>
    </row>
    <row r="38" s="218" customFormat="1" customHeight="1" spans="2:17">
      <c r="B38" s="231"/>
      <c r="C38" s="231"/>
      <c r="D38" s="231"/>
      <c r="E38" s="231"/>
      <c r="F38" s="316"/>
      <c r="G38" s="315"/>
      <c r="H38" s="231"/>
      <c r="I38" s="414"/>
      <c r="J38" s="415"/>
      <c r="K38" s="392" t="s">
        <v>284</v>
      </c>
      <c r="L38" s="247"/>
      <c r="M38" s="416" t="s">
        <v>285</v>
      </c>
      <c r="N38" s="417">
        <v>0</v>
      </c>
      <c r="O38" s="418"/>
      <c r="P38" s="231"/>
      <c r="Q38" s="219"/>
    </row>
    <row r="39" s="218" customFormat="1" customHeight="1" spans="2:17">
      <c r="B39" s="317" t="s">
        <v>286</v>
      </c>
      <c r="C39" s="317"/>
      <c r="D39" s="317"/>
      <c r="E39" s="317"/>
      <c r="F39" s="317"/>
      <c r="G39" s="317"/>
      <c r="H39" s="317"/>
      <c r="I39" s="102"/>
      <c r="J39" s="315"/>
      <c r="K39" s="335"/>
      <c r="L39" s="231"/>
      <c r="M39" s="231"/>
      <c r="N39" s="419"/>
      <c r="O39" s="420"/>
      <c r="P39" s="231"/>
      <c r="Q39" s="219"/>
    </row>
    <row r="40" s="219" customFormat="1" customHeight="1" spans="2:16">
      <c r="B40" s="318" t="s">
        <v>287</v>
      </c>
      <c r="C40" s="318"/>
      <c r="D40" s="318"/>
      <c r="E40" s="318"/>
      <c r="F40" s="319"/>
      <c r="G40" s="320"/>
      <c r="H40" s="231"/>
      <c r="I40" s="231"/>
      <c r="J40" s="421"/>
      <c r="K40" s="422"/>
      <c r="L40" s="421"/>
      <c r="M40" s="423"/>
      <c r="N40" s="424">
        <f>IF(DettaglioCostoCostruz_TipoIntervento="Nuova costruzione",CostoBase_NuovaEdif,CostoBase_Ristrutturaz)</f>
        <v>487.94</v>
      </c>
      <c r="O40" s="425"/>
      <c r="P40" s="231"/>
    </row>
    <row r="41" s="219" customFormat="1" customHeight="1" spans="2:16">
      <c r="B41" s="318" t="s">
        <v>288</v>
      </c>
      <c r="C41" s="318"/>
      <c r="D41" s="318"/>
      <c r="E41" s="318"/>
      <c r="F41" s="319"/>
      <c r="G41" s="320"/>
      <c r="H41" s="321"/>
      <c r="I41" s="321"/>
      <c r="J41" s="426"/>
      <c r="K41" s="427"/>
      <c r="L41" s="426"/>
      <c r="M41" s="423"/>
      <c r="N41" s="424">
        <f>N40*(1+M32/100)</f>
        <v>487.94</v>
      </c>
      <c r="O41" s="425"/>
      <c r="P41" s="231"/>
    </row>
    <row r="42" s="219" customFormat="1" customHeight="1" spans="2:16">
      <c r="B42" s="318" t="s">
        <v>289</v>
      </c>
      <c r="C42" s="318"/>
      <c r="D42" s="318"/>
      <c r="E42" s="318"/>
      <c r="F42" s="319"/>
      <c r="G42" s="320"/>
      <c r="H42" s="321"/>
      <c r="I42" s="321"/>
      <c r="J42" s="426"/>
      <c r="K42" s="427"/>
      <c r="L42" s="426"/>
      <c r="M42" s="423"/>
      <c r="N42" s="424">
        <f>(L35*N41)</f>
        <v>0</v>
      </c>
      <c r="O42" s="425"/>
      <c r="P42" s="231"/>
    </row>
    <row r="43" s="219" customFormat="1" customHeight="1" spans="2:16">
      <c r="B43" s="317" t="s">
        <v>244</v>
      </c>
      <c r="C43" s="317"/>
      <c r="D43" s="317"/>
      <c r="E43" s="317"/>
      <c r="F43" s="319"/>
      <c r="G43" s="320"/>
      <c r="H43" s="231"/>
      <c r="I43" s="231"/>
      <c r="J43" s="102"/>
      <c r="K43" s="397" t="s">
        <v>245</v>
      </c>
      <c r="L43" s="102"/>
      <c r="M43" s="102"/>
      <c r="N43" s="428"/>
      <c r="O43" s="420"/>
      <c r="P43" s="231"/>
    </row>
    <row r="44" s="218" customFormat="1" customHeight="1" spans="2:17">
      <c r="B44" s="318" t="s">
        <v>290</v>
      </c>
      <c r="C44" s="318"/>
      <c r="D44" s="318"/>
      <c r="E44" s="318"/>
      <c r="F44" s="322"/>
      <c r="G44" s="320"/>
      <c r="H44" s="323" t="s">
        <v>291</v>
      </c>
      <c r="I44" s="323"/>
      <c r="J44" s="102"/>
      <c r="K44" s="429">
        <f>IF(ISERROR(MATCH(DettContCostoCost_SommaIncrementi,Parametri_MinClassi,1))=TRUE,INDEX(Parametri_Classi,1,IF(DettaglioCostoCostruz_TipoIntervento="Ristrutturazione",6,5)),INDEX(Parametri_Classi,MATCH(DettContCostoCost_SommaIncrementi,Parametri_MinClassi,1),IF(DettaglioCostoCostruz_TipoIntervento="Ristrutturazione",6,5)))</f>
        <v>6</v>
      </c>
      <c r="L44" s="315" t="s">
        <v>0</v>
      </c>
      <c r="M44" s="423"/>
      <c r="N44" s="424">
        <f>N42*K44/100</f>
        <v>0</v>
      </c>
      <c r="O44" s="425"/>
      <c r="P44" s="231"/>
      <c r="Q44" s="219" t="s">
        <v>292</v>
      </c>
    </row>
    <row r="45" s="218" customFormat="1" customHeight="1" spans="2:17">
      <c r="B45" s="318" t="s">
        <v>293</v>
      </c>
      <c r="C45" s="318"/>
      <c r="D45" s="318"/>
      <c r="E45" s="318"/>
      <c r="F45" s="322"/>
      <c r="G45" s="320"/>
      <c r="H45" s="323" t="s">
        <v>294</v>
      </c>
      <c r="I45" s="430"/>
      <c r="J45" s="431"/>
      <c r="K45" s="429">
        <f>IF(ISERROR(MATCH(DettContCostoCost_SommaIncrementi,Parametri_MinClassi,1))=TRUE,INDEX(Parametri_Classi,1,IF(DettaglioCostoCostruz_TipoIntervento="Ristrutturazione",6,5)),INDEX(Parametri_Classi,MATCH(DettContCostoCost_SommaIncrementi,Parametri_MinClassi,1),IF(DettaglioCostoCostruz_TipoIntervento="Ristrutturazione",6,5)))</f>
        <v>6</v>
      </c>
      <c r="L45" s="426" t="s">
        <v>0</v>
      </c>
      <c r="M45" s="423"/>
      <c r="N45" s="424">
        <f>N37*K45/100</f>
        <v>0</v>
      </c>
      <c r="O45" s="425"/>
      <c r="P45" s="231"/>
      <c r="Q45" s="333"/>
    </row>
    <row r="46" s="218" customFormat="1" customHeight="1" spans="2:17">
      <c r="B46" s="318" t="s">
        <v>295</v>
      </c>
      <c r="C46" s="318"/>
      <c r="D46" s="318"/>
      <c r="E46" s="318"/>
      <c r="F46" s="322"/>
      <c r="G46" s="320"/>
      <c r="H46" s="324" t="s">
        <v>296</v>
      </c>
      <c r="I46" s="324"/>
      <c r="J46" s="431"/>
      <c r="K46" s="432">
        <f>IF(DettaglioCostoCostruz_TipoIntervento="Nuova costruzione",Parametri_Aliquota_terziario_nuova_costr,Parametri_Aliquota_terziario_ristrutt)</f>
        <v>0.1</v>
      </c>
      <c r="L46" s="426" t="s">
        <v>0</v>
      </c>
      <c r="M46" s="423"/>
      <c r="N46" s="424">
        <f>N38*K46</f>
        <v>0</v>
      </c>
      <c r="O46" s="425"/>
      <c r="P46" s="231"/>
      <c r="Q46" s="333"/>
    </row>
    <row r="47" s="220" customFormat="1" customHeight="1" spans="2:17">
      <c r="B47" s="325" t="s">
        <v>250</v>
      </c>
      <c r="C47" s="325"/>
      <c r="D47" s="325"/>
      <c r="E47" s="325"/>
      <c r="F47" s="326"/>
      <c r="G47" s="326"/>
      <c r="H47" s="327"/>
      <c r="I47" s="327"/>
      <c r="J47" s="327"/>
      <c r="K47" s="433"/>
      <c r="L47" s="327" t="s">
        <v>0</v>
      </c>
      <c r="M47" s="434"/>
      <c r="N47" s="424">
        <f>N44+N45+N46</f>
        <v>0</v>
      </c>
      <c r="O47" s="425"/>
      <c r="P47" s="435"/>
      <c r="Q47" s="448"/>
    </row>
    <row r="48" s="218" customFormat="1" customHeight="1" spans="2:17">
      <c r="B48" s="317" t="s">
        <v>251</v>
      </c>
      <c r="C48" s="317"/>
      <c r="D48" s="317"/>
      <c r="E48" s="317"/>
      <c r="F48" s="322"/>
      <c r="G48" s="322"/>
      <c r="H48" s="102"/>
      <c r="I48" s="102"/>
      <c r="J48" s="102"/>
      <c r="K48" s="436"/>
      <c r="L48" s="102"/>
      <c r="M48" s="102"/>
      <c r="N48" s="419"/>
      <c r="O48" s="420"/>
      <c r="P48" s="231"/>
      <c r="Q48" s="333"/>
    </row>
    <row r="49" s="218" customFormat="1" customHeight="1" spans="2:17">
      <c r="B49" s="318" t="s">
        <v>252</v>
      </c>
      <c r="C49" s="318"/>
      <c r="D49" s="318"/>
      <c r="E49" s="318"/>
      <c r="F49" s="233"/>
      <c r="G49" s="233"/>
      <c r="H49" s="328"/>
      <c r="I49" s="328"/>
      <c r="J49" s="421"/>
      <c r="K49" s="422"/>
      <c r="L49" s="421"/>
      <c r="M49" s="423"/>
      <c r="N49" s="437"/>
      <c r="O49" s="438"/>
      <c r="P49" s="231"/>
      <c r="Q49" s="333"/>
    </row>
    <row r="50" s="218" customFormat="1" customHeight="1" spans="2:17">
      <c r="B50" s="318" t="s">
        <v>254</v>
      </c>
      <c r="C50" s="318"/>
      <c r="D50" s="318"/>
      <c r="E50" s="318"/>
      <c r="F50" s="233"/>
      <c r="G50" s="233"/>
      <c r="H50" s="321"/>
      <c r="I50" s="321"/>
      <c r="J50" s="426"/>
      <c r="K50" s="427"/>
      <c r="L50" s="426"/>
      <c r="M50" s="423"/>
      <c r="N50" s="437"/>
      <c r="O50" s="438"/>
      <c r="P50" s="231"/>
      <c r="Q50" s="333"/>
    </row>
    <row r="51" s="218" customFormat="1" customHeight="1" spans="2:17">
      <c r="B51" s="329"/>
      <c r="C51" s="329"/>
      <c r="D51" s="329"/>
      <c r="E51" s="329"/>
      <c r="F51" s="330"/>
      <c r="G51" s="330"/>
      <c r="H51" s="331"/>
      <c r="I51" s="331"/>
      <c r="J51" s="331"/>
      <c r="K51" s="354"/>
      <c r="L51" s="337"/>
      <c r="M51" s="337"/>
      <c r="N51" s="439"/>
      <c r="O51" s="439"/>
      <c r="P51" s="231"/>
      <c r="Q51" s="333"/>
    </row>
    <row r="52" s="218" customFormat="1" ht="15" customHeight="1" spans="2:17">
      <c r="B52" s="332" t="s">
        <v>37</v>
      </c>
      <c r="C52" s="332"/>
      <c r="D52" s="332"/>
      <c r="E52" s="332"/>
      <c r="F52" s="332"/>
      <c r="G52" s="332"/>
      <c r="H52" s="332"/>
      <c r="I52" s="332"/>
      <c r="J52" s="332"/>
      <c r="K52" s="332"/>
      <c r="L52" s="332"/>
      <c r="M52" s="440"/>
      <c r="N52" s="441">
        <f>(N47-N49-N50)</f>
        <v>0</v>
      </c>
      <c r="O52" s="442"/>
      <c r="P52" s="231"/>
      <c r="Q52" s="333"/>
    </row>
    <row r="53" s="218" customFormat="1" ht="12" customHeight="1" spans="2:17">
      <c r="B53" s="231"/>
      <c r="C53" s="231"/>
      <c r="D53" s="231"/>
      <c r="E53" s="231"/>
      <c r="F53" s="233"/>
      <c r="G53" s="233"/>
      <c r="H53" s="231"/>
      <c r="I53" s="231"/>
      <c r="J53" s="231"/>
      <c r="K53" s="335"/>
      <c r="L53" s="231"/>
      <c r="M53" s="231"/>
      <c r="N53" s="231"/>
      <c r="O53" s="231"/>
      <c r="P53" s="231"/>
      <c r="Q53" s="333"/>
    </row>
  </sheetData>
  <sheetProtection password="83CC" sheet="1" formatColumns="0" formatRows="0" insertRows="0"/>
  <mergeCells count="73">
    <mergeCell ref="B1:P1"/>
    <mergeCell ref="B2:C2"/>
    <mergeCell ref="D2:H2"/>
    <mergeCell ref="B3:C3"/>
    <mergeCell ref="D3:H3"/>
    <mergeCell ref="B5:C5"/>
    <mergeCell ref="B6:C6"/>
    <mergeCell ref="B7:C7"/>
    <mergeCell ref="B8:C8"/>
    <mergeCell ref="B9:C9"/>
    <mergeCell ref="B10:C10"/>
    <mergeCell ref="B14:D14"/>
    <mergeCell ref="B17:D17"/>
    <mergeCell ref="B18:D18"/>
    <mergeCell ref="B19:D19"/>
    <mergeCell ref="B23:D23"/>
    <mergeCell ref="L23:P23"/>
    <mergeCell ref="B24:D24"/>
    <mergeCell ref="M24:P24"/>
    <mergeCell ref="B25:D25"/>
    <mergeCell ref="M25:P25"/>
    <mergeCell ref="B26:D26"/>
    <mergeCell ref="M26:P26"/>
    <mergeCell ref="B27:D27"/>
    <mergeCell ref="M27:P27"/>
    <mergeCell ref="B28:D28"/>
    <mergeCell ref="M28:P28"/>
    <mergeCell ref="B31:E31"/>
    <mergeCell ref="M31:N31"/>
    <mergeCell ref="B32:D32"/>
    <mergeCell ref="I32:J32"/>
    <mergeCell ref="M32:N32"/>
    <mergeCell ref="B33:D33"/>
    <mergeCell ref="B34:D34"/>
    <mergeCell ref="I34:K34"/>
    <mergeCell ref="B35:D35"/>
    <mergeCell ref="I35:K35"/>
    <mergeCell ref="K37:L37"/>
    <mergeCell ref="N37:O37"/>
    <mergeCell ref="K38:L38"/>
    <mergeCell ref="N38:O38"/>
    <mergeCell ref="B39:H39"/>
    <mergeCell ref="B40:E40"/>
    <mergeCell ref="N40:O40"/>
    <mergeCell ref="B41:E41"/>
    <mergeCell ref="N41:O41"/>
    <mergeCell ref="B42:E42"/>
    <mergeCell ref="N42:O42"/>
    <mergeCell ref="B43:E43"/>
    <mergeCell ref="B44:E44"/>
    <mergeCell ref="N44:O44"/>
    <mergeCell ref="B45:E45"/>
    <mergeCell ref="N45:O45"/>
    <mergeCell ref="B46:E46"/>
    <mergeCell ref="N46:O46"/>
    <mergeCell ref="B47:E47"/>
    <mergeCell ref="N47:O47"/>
    <mergeCell ref="B48:E48"/>
    <mergeCell ref="B49:E49"/>
    <mergeCell ref="N49:O49"/>
    <mergeCell ref="B50:E50"/>
    <mergeCell ref="N50:O50"/>
    <mergeCell ref="B52:M52"/>
    <mergeCell ref="N52:O52"/>
    <mergeCell ref="E15:E16"/>
    <mergeCell ref="M12:M20"/>
    <mergeCell ref="N12:N14"/>
    <mergeCell ref="O7:O14"/>
    <mergeCell ref="P7:P14"/>
    <mergeCell ref="Q6:Q7"/>
    <mergeCell ref="M9:N11"/>
    <mergeCell ref="B15:D16"/>
    <mergeCell ref="I37:J38"/>
  </mergeCells>
  <dataValidations count="3">
    <dataValidation type="list" allowBlank="1" showInputMessage="1" showErrorMessage="1" sqref="D2">
      <formula1>"Nuova costruzione,Ristrutturazione"</formula1>
    </dataValidation>
    <dataValidation type="list" allowBlank="1" showInputMessage="1" showErrorMessage="1" sqref="D3">
      <formula1>"Calcolo costo costruzione,Calcolo classe"</formula1>
    </dataValidation>
    <dataValidation type="list" allowBlank="1" showInputMessage="1" showErrorMessage="1" sqref="L24:L28">
      <formula1>opzioni</formula1>
    </dataValidation>
  </dataValidations>
  <hyperlinks>
    <hyperlink ref="Q6:Q7" location="'Procedura guidata'!A1" display="Torna alla procedura guidata!"/>
  </hyperlinks>
  <pageMargins left="0.236220472440945" right="0.15748031496063" top="0.275590551181102" bottom="0.275590551181102" header="0.275590551181102" footer="0.511811023622047"/>
  <pageSetup paperSize="9" scale="89" orientation="portrait"/>
  <headerFooter alignWithMargins="0"/>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27" master="" otherUserPermission="visible"/>
  <rangeList sheetStid="13" master="" otherUserPermission="visible"/>
  <rangeList sheetStid="2" master="" otherUserPermission="visible"/>
  <rangeList sheetStid="1" master="" otherUserPermission="visible"/>
  <rangeList sheetStid="29" master="" otherUserPermission="visible"/>
  <rangeList sheetStid="19" master="" otherUserPermission="visible"/>
  <rangeList sheetStid="20" master="" otherUserPermission="visible"/>
  <rangeList sheetStid="17" master="" otherUserPermission="visible"/>
  <rangeList sheetStid="7" master="" otherUserPermission="visible"/>
  <rangeList sheetStid="23" master="" otherUserPermission="visible"/>
  <rangeList sheetStid="28" master="" otherUserPermission="visible"/>
  <rangeList sheetStid="22" master="" otherUserPermission="visible"/>
  <rangeList sheetStid="12"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Company>Comune di Bergamo</Company>
  <Application>Microsoft Excel</Application>
  <HeadingPairs>
    <vt:vector size="2" baseType="variant">
      <vt:variant>
        <vt:lpstr>工作表</vt:lpstr>
      </vt:variant>
      <vt:variant>
        <vt:i4>13</vt:i4>
      </vt:variant>
    </vt:vector>
  </HeadingPairs>
  <TitlesOfParts>
    <vt:vector size="13" baseType="lpstr">
      <vt:lpstr>Procedura guidata</vt:lpstr>
      <vt:lpstr>Riepilogo generale</vt:lpstr>
      <vt:lpstr>Riepilogo oneri e costi</vt:lpstr>
      <vt:lpstr>Descrizione dell'intervento</vt:lpstr>
      <vt:lpstr>Calcolo superfici edificio</vt:lpstr>
      <vt:lpstr>Determinazione classe</vt:lpstr>
      <vt:lpstr>Costo Costruzione</vt:lpstr>
      <vt:lpstr>Costo costruzione statofatto</vt:lpstr>
      <vt:lpstr>Costo costruzione progetto</vt:lpstr>
      <vt:lpstr>Calcolo superficie parcheggio</vt:lpstr>
      <vt:lpstr>Rateizzazione</vt:lpstr>
      <vt:lpstr>Parametri</vt:lpstr>
      <vt:lpstr>Solo1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Calcolo oneri</dc:subject>
  <dc:creator>Globo</dc:creator>
  <dc:description>Versione del 28/10/2010
Parametri di calcolo 2010</dc:description>
  <cp:lastModifiedBy>Giovanni Sacco</cp:lastModifiedBy>
  <dcterms:created xsi:type="dcterms:W3CDTF">2009-09-03T10:46:00Z</dcterms:created>
  <cp:lastPrinted>2014-12-23T07:45:00Z</cp:lastPrinted>
  <dcterms:modified xsi:type="dcterms:W3CDTF">2026-02-03T08:36:37Z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515A4993C6724A69B55D5194AFCAF199_12</vt:lpwstr>
  </property>
  <property fmtid="{D5CDD505-2E9C-101B-9397-08002B2CF9AE}" pid="3" name="KSOProductBuildVer">
    <vt:lpwstr>1033-12.2.0.23155</vt:lpwstr>
  </property>
</Properties>
</file>