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23.xml.rels" ContentType="application/vnd.openxmlformats-package.relationships+xml"/>
  <Override PartName="/xl/worksheets/_rels/sheet24.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3"/>
  </bookViews>
  <sheets>
    <sheet name="A - RIFERIMENTO" sheetId="1" state="visible" r:id="rId3"/>
    <sheet name="B - RESIDENZIALE" sheetId="2" state="visible" r:id="rId4"/>
    <sheet name="C - ARTIGIANALE INDUSTRIALE" sheetId="3" state="visible" r:id="rId5"/>
    <sheet name="D - ARTIG INDUST CAT SPECIALE" sheetId="4" state="visible" r:id="rId6"/>
    <sheet name="E - COMMER DIREZ E SERVIZ" sheetId="5" state="visible" r:id="rId7"/>
    <sheet name="F - COMMER ALL'INGROSSO E DEP-1" sheetId="6" state="visible" r:id="rId8"/>
    <sheet name="F - COMMER ALL'INGROSSO E DEPOS" sheetId="7" state="hidden" r:id="rId9"/>
    <sheet name="G - PEEP" sheetId="8" state="visible" r:id="rId10"/>
    <sheet name="H - ONERI VERDI" sheetId="9" state="visible" r:id="rId11"/>
    <sheet name="I - PERCENTUALI COSTO COSTRUZIO" sheetId="10" state="visible" r:id="rId12"/>
    <sheet name="istr." sheetId="11" state="visible" r:id="rId13"/>
    <sheet name="Residenziale" sheetId="12" state="visible" r:id="rId14"/>
    <sheet name="Prod. cat. norm." sheetId="13" state="visible" r:id="rId15"/>
    <sheet name="Prod. cat. spec." sheetId="14" state="visible" r:id="rId16"/>
    <sheet name="Commerciale" sheetId="15" state="visible" r:id="rId17"/>
    <sheet name="Ingrosso" sheetId="16" state="visible" r:id="rId18"/>
    <sheet name="Verdi" sheetId="17" state="visible" r:id="rId19"/>
    <sheet name="Annessi agricoli" sheetId="18" state="visible" r:id="rId20"/>
    <sheet name="costo-mq" sheetId="19" state="visible" r:id="rId21"/>
    <sheet name="costo resid nuovo" sheetId="20" state="visible" r:id="rId22"/>
    <sheet name="costo resid ristrutt" sheetId="21" state="visible" r:id="rId23"/>
    <sheet name="costo commercio" sheetId="22" state="visible" r:id="rId24"/>
    <sheet name="riepilogo" sheetId="23" state="visible" r:id="rId25"/>
    <sheet name="Rateizzazione " sheetId="24" state="visible" r:id="rId26"/>
  </sheets>
  <definedNames>
    <definedName function="false" hidden="false" localSheetId="0" name="_xlnm.Print_Area" vbProcedure="false">'A - RIFERIMENTO'!$A$1:$L$15</definedName>
    <definedName function="false" hidden="false" localSheetId="17" name="_xlnm.Print_Area" vbProcedure="false">'Annessi agricoli'!$A$1:$J$18</definedName>
    <definedName function="false" hidden="false" localSheetId="14" name="_xlnm.Print_Area" vbProcedure="false">Commerciale!$A$1:$H$64</definedName>
    <definedName function="false" hidden="false" localSheetId="21" name="_xlnm.Print_Area" vbProcedure="false">'costo commercio'!$A$1:$M$49</definedName>
    <definedName function="false" hidden="false" localSheetId="19" name="_xlnm.Print_Area" vbProcedure="false">'costo resid nuovo'!$A$1:$M$68</definedName>
    <definedName function="false" hidden="false" localSheetId="20" name="_xlnm.Print_Area" vbProcedure="false">'costo resid ristrutt'!$A$1:$M$68</definedName>
    <definedName function="false" hidden="false" localSheetId="18" name="_xlnm.Print_Area" vbProcedure="false">'costo-mq'!$A$1:$P$84</definedName>
    <definedName function="false" hidden="false" localSheetId="15" name="_xlnm.Print_Area" vbProcedure="false">Ingrosso!$A$1:$H$60</definedName>
    <definedName function="false" hidden="false" localSheetId="10" name="_xlnm.Print_Area" vbProcedure="false">'istr.'!$A$1:$C$51</definedName>
    <definedName function="false" hidden="false" localSheetId="12" name="_xlnm.Print_Area" vbProcedure="false">'Prod. cat. norm.'!$A$1:$H$63</definedName>
    <definedName function="false" hidden="false" localSheetId="13" name="_xlnm.Print_Area" vbProcedure="false">'Prod. cat. spec.'!$A$1:$H$63</definedName>
    <definedName function="false" hidden="false" localSheetId="23" name="_xlnm.Print_Area" vbProcedure="false">'Rateizzazione '!$A$1:$G$25</definedName>
    <definedName function="false" hidden="false" localSheetId="11" name="_xlnm.Print_Area" vbProcedure="false">Residenziale!$A$1:$H$59</definedName>
    <definedName function="false" hidden="false" localSheetId="22" name="_xlnm.Print_Area" vbProcedure="false">riepilogo!$A$1:$H$31</definedName>
    <definedName function="false" hidden="false" localSheetId="16" name="_xlnm.Print_Area" vbProcedure="false">Verdi!$A$1:$I$35</definedName>
    <definedName function="false" hidden="false" localSheetId="0" name="Excel_BuiltIn_Print_Titles" vbProcedure="false">'A - RIFERIMENTO'!$1:$2</definedName>
    <definedName function="false" hidden="false" localSheetId="1" name="Excel_BuiltIn_Print_Titles" vbProcedure="false">'B - RESIDENZIALE'!$1:$1</definedName>
    <definedName function="false" hidden="false" localSheetId="10" name="Z_44640FA1_2B0D_492D_A38E_02B8F9020A14__wvu_PrintArea" vbProcedure="false">'istr.'!$A$1:$B$50</definedName>
    <definedName function="false" hidden="false" localSheetId="11" name="Excel_BuiltIn_Print_Area" vbProcedure="false">Residenziale!$A$1:$H$60</definedName>
    <definedName function="false" hidden="false" localSheetId="11" name="Z_44640FA1_2B0D_492D_A38E_02B8F9020A14__wvu_PrintArea" vbProcedure="false">Residenziale!$A$1:$H$58</definedName>
    <definedName function="false" hidden="false" localSheetId="12" name="Excel_BuiltIn_Print_Area" vbProcedure="false">'Prod. cat. norm.'!$A$1:$H$9</definedName>
    <definedName function="false" hidden="false" localSheetId="12" name="Z_44640FA1_2B0D_492D_A38E_02B8F9020A14__wvu_PrintArea" vbProcedure="false">'Prod. cat. norm.'!$A$1:$H$9</definedName>
    <definedName function="false" hidden="false" localSheetId="14" name="Z_44640FA1_2B0D_492D_A38E_02B8F9020A14__wvu_PrintArea" vbProcedure="false">Commerciale!$A$1:$H$10</definedName>
    <definedName function="false" hidden="false" localSheetId="15" name="Z_44640FA1_2B0D_492D_A38E_02B8F9020A14__wvu_PrintArea" vbProcedure="false">Ingrosso!$A$1:$H$10</definedName>
    <definedName function="false" hidden="false" localSheetId="16" name="Z_44640FA1_2B0D_492D_A38E_02B8F9020A14__wvu_PrintArea" vbProcedure="false">Verdi!$A$1:$I$34</definedName>
    <definedName function="false" hidden="false" localSheetId="18" name="Z_44640FA1_2B0D_492D_A38E_02B8F9020A14__wvu_Cols" vbProcedure="false">'costo-mq'!$A:$A</definedName>
    <definedName function="false" hidden="false" localSheetId="18" name="Z_44640FA1_2B0D_492D_A38E_02B8F9020A14__wvu_PrintArea" vbProcedure="false">'costo-mq'!$A$1:$O$82</definedName>
    <definedName function="false" hidden="false" localSheetId="19" name="Z_44640FA1_2B0D_492D_A38E_02B8F9020A14__wvu_PrintArea" vbProcedure="false">'costo resid nuovo'!$A:$L</definedName>
    <definedName function="false" hidden="false" localSheetId="20" name="Z_44640FA1_2B0D_492D_A38E_02B8F9020A14__wvu_PrintArea" vbProcedure="false">'costo resid ristrutt'!$A:$L</definedName>
    <definedName function="false" hidden="false" localSheetId="21" name="Z_44640FA1_2B0D_492D_A38E_02B8F9020A14__wvu_PrintArea" vbProcedure="false">'costo commercio'!$A$1:$L$48</definedName>
    <definedName function="false" hidden="false" localSheetId="22" name="Z_44640FA1_2B0D_492D_A38E_02B8F9020A14__wvu_PrintArea" vbProcedure="false">riepilogo!$A$4:$G$31</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<sst xmlns="http://schemas.openxmlformats.org/spreadsheetml/2006/main" count="2109" uniqueCount="380">
  <si>
    <t xml:space="preserve">TABELLE ONERI DI URBANIZZAZIONE E COSTI UNITARI DI COSTRUZIONE</t>
  </si>
  <si>
    <r>
      <rPr>
        <b val="true"/>
        <sz val="10"/>
        <rFont val="Arial"/>
        <family val="0"/>
        <charset val="1"/>
      </rPr>
      <t xml:space="preserve">AVVERTENZA -</t>
    </r>
    <r>
      <rPr>
        <sz val="10"/>
        <rFont val="Arial"/>
        <family val="0"/>
        <charset val="1"/>
      </rPr>
      <t xml:space="preserve"> la tabella sottostante costituisce la base di riferimento per le tabelle successive e non dev'essere presa in considerazione per i calcoli dei contributi. Per questi ultimi fare riferimento alle tariffe riportate nella specifica tabella corrispondente alla destinazione d'uso. Per ulteriori informazioni sulle modalità di calcolo fare riferimento all'art. 1 del regolamento vigente in materia.</t>
    </r>
  </si>
  <si>
    <t xml:space="preserve">TABELLA A - COSTI MEDI COMUNALI</t>
  </si>
  <si>
    <t xml:space="preserve">COSTO MEDIO REGIONALE</t>
  </si>
  <si>
    <t xml:space="preserve">EURO</t>
  </si>
  <si>
    <t xml:space="preserve">coefficiente comunale</t>
  </si>
  <si>
    <t xml:space="preserve">costo medio comunale</t>
  </si>
  <si>
    <t xml:space="preserve">TOTALE</t>
  </si>
  <si>
    <t xml:space="preserve">costo medio comunale anno 2023</t>
  </si>
  <si>
    <t xml:space="preserve">rivalutazione ISTAT anno 2024</t>
  </si>
  <si>
    <t xml:space="preserve">TOTALE     rivalutazione ISTAT</t>
  </si>
  <si>
    <t xml:space="preserve">INSEDIAMENTI RESIDENZIALI</t>
  </si>
  <si>
    <t xml:space="preserve">urbanizzazione primaria</t>
  </si>
  <si>
    <t xml:space="preserve">euro/mc</t>
  </si>
  <si>
    <t xml:space="preserve">urbanizzazione secondaria</t>
  </si>
  <si>
    <t xml:space="preserve">INSEDIAMENTI ARTIGIANALI E INDUSTRIALI</t>
  </si>
  <si>
    <t xml:space="preserve">urbanizzazione primaria normali</t>
  </si>
  <si>
    <t xml:space="preserve">euro/mq</t>
  </si>
  <si>
    <t xml:space="preserve">urbanizzazione primaria categorie speciali</t>
  </si>
  <si>
    <t xml:space="preserve">INTERVENTI TURISTICI, COMMERCIALI E DIREZIONALI</t>
  </si>
  <si>
    <t xml:space="preserve">INSEDIAMENTI COMMERCIALI ALL'INGROSSO</t>
  </si>
  <si>
    <t xml:space="preserve">coefficiente rivalutazione ISTAT novembre 2024</t>
  </si>
  <si>
    <t xml:space="preserve">variazione annuale 2023-2024 1,60%</t>
  </si>
  <si>
    <t xml:space="preserve">ONERI DI URBANIZZAZIONE</t>
  </si>
  <si>
    <r>
      <rPr>
        <b val="true"/>
        <sz val="12"/>
        <rFont val="Arial"/>
        <family val="0"/>
        <charset val="1"/>
      </rPr>
      <t xml:space="preserve">TABELLA B - INSEDIAMENTI RESIDENZIALI</t>
    </r>
    <r>
      <rPr>
        <sz val="10"/>
        <rFont val="Arial"/>
        <family val="0"/>
        <charset val="1"/>
      </rPr>
      <t xml:space="preserve"> (gli importi si intendono in €/mc)</t>
    </r>
  </si>
  <si>
    <t xml:space="preserve">Costo medio comunale UP</t>
  </si>
  <si>
    <t xml:space="preserve">Costo medio comunale US</t>
  </si>
  <si>
    <t xml:space="preserve">Costo medio totale</t>
  </si>
  <si>
    <t xml:space="preserve">Aggiornamento Istat anno 2024</t>
  </si>
  <si>
    <t xml:space="preserve">coefficiente tabella C l.r. 1/05 e s.m.i. = 0,3</t>
  </si>
  <si>
    <t xml:space="preserve">nessun abbattimento = 1</t>
  </si>
  <si>
    <t xml:space="preserve">Interventi di restauro, ristrutturazione edilizia conservativa e recupero sottotetti ai fini abitativi</t>
  </si>
  <si>
    <t xml:space="preserve">coefficiente tabella C l.r. 1/05 e s.m.i. 1/05 = 0,3</t>
  </si>
  <si>
    <t xml:space="preserve">Interventi di ristrutturazione edilizia ricostruttiva</t>
  </si>
  <si>
    <t xml:space="preserve">coefficiente tabella C  l.r. 1/05 e s.m.i. 1/05 = 1,2</t>
  </si>
  <si>
    <t xml:space="preserve">Interventi pertinenziali con incremento di volume non superiore al 20% della volumetria dell’edificio principale </t>
  </si>
  <si>
    <t xml:space="preserve">coefficiente tabella C  l.r. 1/05 e s.m.i. 1/05 = 0,3</t>
  </si>
  <si>
    <t xml:space="preserve">incremento del 90% = 1,9</t>
  </si>
  <si>
    <t xml:space="preserve">Interventi con o senza opere per svincolo pertinenza guardiania</t>
  </si>
  <si>
    <t xml:space="preserve">coefficiente tabella C l.r. 1/05 e s.m.i. 1/05 = 0,8</t>
  </si>
  <si>
    <t xml:space="preserve">nessun incremento = 1</t>
  </si>
  <si>
    <r>
      <rPr>
        <sz val="10"/>
        <rFont val="Arial"/>
        <family val="0"/>
        <charset val="1"/>
      </rPr>
      <t xml:space="preserve">Interventi di sostituzione edilizia </t>
    </r>
    <r>
      <rPr>
        <u val="single"/>
        <sz val="10"/>
        <rFont val="Arial"/>
        <family val="0"/>
        <charset val="1"/>
      </rPr>
      <t xml:space="preserve">senza cambio</t>
    </r>
    <r>
      <rPr>
        <sz val="10"/>
        <rFont val="Arial"/>
        <family val="0"/>
        <charset val="1"/>
      </rPr>
      <t xml:space="preserve"> di destinazione</t>
    </r>
  </si>
  <si>
    <t xml:space="preserve">incremento del 40% = 1,4</t>
  </si>
  <si>
    <r>
      <rPr>
        <sz val="10"/>
        <rFont val="Arial"/>
        <family val="0"/>
        <charset val="1"/>
      </rPr>
      <t xml:space="preserve">Interventi di sostituzione edilizia </t>
    </r>
    <r>
      <rPr>
        <u val="single"/>
        <sz val="10"/>
        <rFont val="Arial"/>
        <family val="0"/>
        <charset val="1"/>
      </rPr>
      <t xml:space="preserve">con cambio</t>
    </r>
    <r>
      <rPr>
        <sz val="10"/>
        <rFont val="Arial"/>
        <family val="0"/>
        <charset val="1"/>
      </rPr>
      <t xml:space="preserve"> di destinazione</t>
    </r>
  </si>
  <si>
    <t xml:space="preserve">incremento del 30% = 1,3</t>
  </si>
  <si>
    <t xml:space="preserve">Nuova edificazione, ampliamento, sopraelevazione, ristrutturazione urbanistica if&lt;1,5</t>
  </si>
  <si>
    <t xml:space="preserve">coefficiente tabella C  l.r. 1/05 e s.m.i. 1/05 = 1</t>
  </si>
  <si>
    <t xml:space="preserve">Interventi di nuova edificazione if fra 1,5 e 3</t>
  </si>
  <si>
    <t xml:space="preserve">coefficiente tabella C l.r. 1/05 e s.m.i. 1/05 = 0,9</t>
  </si>
  <si>
    <t xml:space="preserve">Interventi di nuova edificazione if superiore a 3</t>
  </si>
  <si>
    <t xml:space="preserve">Agli interventi di recupero del patrimonio edilizio abbandonato ricadente nel territorio rurale o nei centri storici (zone A), sarà applicata una riduzione del 50% degli oneri dovuti, a condizione che sia garantito il raggiungimento della classe energetica D ai sensi del d.m. linee guida e siano eseguiti contestualmente interventi di riparazione locale secondo la vigente normativa sismica (L.R. 3/2017 così come modificata dalla L.R. 37/2020) </t>
  </si>
  <si>
    <r>
      <rPr>
        <b val="true"/>
        <sz val="12"/>
        <rFont val="Arial"/>
        <family val="0"/>
        <charset val="1"/>
      </rPr>
      <t xml:space="preserve">TABELLA C - INSEDIAMENTI ARTIGIANALI ED INDUSTRIALI</t>
    </r>
    <r>
      <rPr>
        <sz val="10"/>
        <rFont val="Arial"/>
        <family val="0"/>
        <charset val="1"/>
      </rPr>
      <t xml:space="preserve"> (gli importi si intendono in €/mq)</t>
    </r>
  </si>
  <si>
    <t xml:space="preserve">coefficiente tabella C  l.r. 1/05 e s.m.i. = 0,3</t>
  </si>
  <si>
    <t xml:space="preserve">Interventi di restauro,  ristrutturazione edilizia conservativa e realizzazione di soppalchi e solaio interpiano</t>
  </si>
  <si>
    <t xml:space="preserve">nel caso di cambiamento della destinazione originaria residenziale il coefficiente C 0,45</t>
  </si>
  <si>
    <t xml:space="preserve">coefficiente tabella C  l.r. 1/05 e s.m.i. = 1,2</t>
  </si>
  <si>
    <t xml:space="preserve">incremento del 10% = 1,1</t>
  </si>
  <si>
    <t xml:space="preserve">importo previsto dall’art. 27 del Regolamento Edilizio</t>
  </si>
  <si>
    <t xml:space="preserve">Manufatti a carattere temporaneo come previsti all’art. 27 del Regolamento Edilizio</t>
  </si>
  <si>
    <t xml:space="preserve">coefficiente tabella C  l.r. 1/05 e s.m.i. = 0,8</t>
  </si>
  <si>
    <t xml:space="preserve">Interventi di sostituzione edilizia</t>
  </si>
  <si>
    <t xml:space="preserve">coefficiente tabella C l.r. 1/05 e s.m.i. = 1,2</t>
  </si>
  <si>
    <t xml:space="preserve">coefficiente tabella C  l.r. 1/05 e s.m.i. = 1</t>
  </si>
  <si>
    <t xml:space="preserve">coefficiente tabella C  l.r. 1/05 e s.m.i. = 0,9</t>
  </si>
  <si>
    <r>
      <rPr>
        <b val="true"/>
        <sz val="12"/>
        <rFont val="Arial"/>
        <family val="0"/>
        <charset val="1"/>
      </rPr>
      <t xml:space="preserve">TABELLA D - INSEDIAMENTI ARTIGIANALI ED INDUSTRIALI CATEGORIE SPECIALI</t>
    </r>
    <r>
      <rPr>
        <sz val="10"/>
        <rFont val="Arial"/>
        <family val="0"/>
        <charset val="1"/>
      </rPr>
      <t xml:space="preserve"> (gli importi si intendono in €/mq)</t>
    </r>
  </si>
  <si>
    <t xml:space="preserve">coefficiente tabella C l.r. 1/05 e s.m.i. = 0,8</t>
  </si>
  <si>
    <t xml:space="preserve">Le categorie speciali sono (cod. ISTAT 1971): 301alimentare; 303tessile; 305calzature; 313chimiche ed affini-cartiere e cartotecniche. Qualora siano adottati cicli tecnologici comportanti il recupero ed il riciclo delle acque in misura superiore al 30% del fabbisogno si applicano le tariffe della TABELLA C</t>
  </si>
  <si>
    <r>
      <rPr>
        <b val="true"/>
        <sz val="12"/>
        <rFont val="Arial"/>
        <family val="0"/>
        <charset val="1"/>
      </rPr>
      <t xml:space="preserve">TABELLA E - INTERVENTI TURISTICI - COMMERCIALI - DIREZIONALI - DI SERVIZIO</t>
    </r>
    <r>
      <rPr>
        <sz val="10"/>
        <rFont val="Arial"/>
        <family val="0"/>
        <charset val="1"/>
      </rPr>
      <t xml:space="preserve"> (gli importi si intendono in €/mc)</t>
    </r>
  </si>
  <si>
    <t xml:space="preserve">importo previsto dall’art. 28 del Regolamento Edilizio</t>
  </si>
  <si>
    <t xml:space="preserve">Opere a carattere stagionale (Dehors) come previste all’art. 28 del Regolamento Edilizio</t>
  </si>
  <si>
    <r>
      <rPr>
        <b val="true"/>
        <sz val="12"/>
        <rFont val="Arial"/>
        <family val="0"/>
        <charset val="1"/>
      </rPr>
      <t xml:space="preserve">TABELLA F - INSEDIAMENTI COMMERCIALI ALL'INGROSSO E DEPOSITI</t>
    </r>
    <r>
      <rPr>
        <sz val="10"/>
        <rFont val="Arial"/>
        <family val="0"/>
        <charset val="1"/>
      </rPr>
      <t xml:space="preserve"> (gli importi si intendono in €/mq)</t>
    </r>
  </si>
  <si>
    <t xml:space="preserve">Aggiornamento Istat anno 2021</t>
  </si>
  <si>
    <t xml:space="preserve">coefficiente tabella C l.r. 1/05 e s.m.i. = 1</t>
  </si>
  <si>
    <r>
      <rPr>
        <b val="true"/>
        <sz val="12"/>
        <rFont val="Arial"/>
        <family val="0"/>
        <charset val="1"/>
      </rPr>
      <t xml:space="preserve">TABELLA G - INTERVENTI DI NUOVA EDIFICAZIONE RESIDENZIALE NEI PIANI PER L'EDILIZIA ECONOMICA E POPOLARE
(L. 167/62 e s.m.i.)
</t>
    </r>
    <r>
      <rPr>
        <sz val="12"/>
        <rFont val="Arial"/>
        <family val="0"/>
        <charset val="1"/>
      </rPr>
      <t xml:space="preserve">(gli importi si intendono in €/mc)</t>
    </r>
  </si>
  <si>
    <t xml:space="preserve">INTERVENTI DI NUOVA EDIFICAZIONE</t>
  </si>
  <si>
    <t xml:space="preserve">OPERATORE</t>
  </si>
  <si>
    <t xml:space="preserve">AREA IN PROPRIETA'</t>
  </si>
  <si>
    <t xml:space="preserve">AREA IN DIRITTO DI SUPERFICIE</t>
  </si>
  <si>
    <t xml:space="preserve">ABBATTIMENTO</t>
  </si>
  <si>
    <t xml:space="preserve">COEFFICIENTE C</t>
  </si>
  <si>
    <t xml:space="preserve">Euro/mc</t>
  </si>
  <si>
    <t xml:space="preserve">IF &lt; 1,5 Mc/Mq</t>
  </si>
  <si>
    <t xml:space="preserve">privati - imprese edili - cooperative a proprietà divisa</t>
  </si>
  <si>
    <t xml:space="preserve">Urb. Pr.</t>
  </si>
  <si>
    <t xml:space="preserve">Urb. Sec.</t>
  </si>
  <si>
    <t xml:space="preserve">Totale</t>
  </si>
  <si>
    <t xml:space="preserve">Casa SpA - cooperative a proprietà indivisa</t>
  </si>
  <si>
    <t xml:space="preserve">IF compreso tra 1,5 e 3</t>
  </si>
  <si>
    <t xml:space="preserve">IF &gt; 3</t>
  </si>
  <si>
    <r>
      <rPr>
        <b val="true"/>
        <sz val="12"/>
        <rFont val="Arial"/>
        <family val="0"/>
        <charset val="1"/>
      </rPr>
      <t xml:space="preserve">TABELLA  H  - ONERI CONNESSI AL MIGLIORAMENTO AMBIENTALE DEL SISTEMA INSEDIATIVO AGRICOLO ("oneri verdi" art. 83, comma 5, legge regionale 65/14) </t>
    </r>
    <r>
      <rPr>
        <sz val="12"/>
        <rFont val="Arial"/>
        <family val="0"/>
        <charset val="1"/>
      </rPr>
      <t xml:space="preserve">(gli importi si intendono in euro/mc ad eccezione degli interventi di nuova edificazione di annessi agricoli e serre non facenti parte di aziende agricole che sono in euro/mq)</t>
    </r>
  </si>
  <si>
    <t xml:space="preserve">Aggiornamento Istat anno 2024     1,6%</t>
  </si>
  <si>
    <r>
      <rPr>
        <sz val="10"/>
        <rFont val="Arial"/>
        <family val="0"/>
        <charset val="1"/>
      </rPr>
      <t xml:space="preserve">Interventi di restauro, ristrutturazione edilizia conservativa, ristrutturazione edilizia ricostruttiva e recupero sottotetti ai fini abitativi di edifici </t>
    </r>
    <r>
      <rPr>
        <b val="true"/>
        <sz val="10"/>
        <rFont val="Arial"/>
        <family val="0"/>
        <charset val="1"/>
      </rPr>
      <t xml:space="preserve">non rurali</t>
    </r>
  </si>
  <si>
    <t xml:space="preserve">residenziale</t>
  </si>
  <si>
    <t xml:space="preserve">altre destinazioni diverse dal residenziale</t>
  </si>
  <si>
    <r>
      <rPr>
        <sz val="10"/>
        <rFont val="Arial"/>
        <family val="0"/>
        <charset val="1"/>
      </rPr>
      <t xml:space="preserve">Interventi di restauro, ristrutturazione edilizia conservativa, ristrutturazione edilizia ricostruttiva e recupero sottotetti ai fini abitativi con </t>
    </r>
    <r>
      <rPr>
        <b val="true"/>
        <sz val="10"/>
        <rFont val="Arial"/>
        <family val="0"/>
        <charset val="1"/>
      </rPr>
      <t xml:space="preserve">mutamento della destinazione d’uso rurale</t>
    </r>
  </si>
  <si>
    <t xml:space="preserve">coefficiente tabella C l.r. 1/05 e s.m.i. = 1,2      abbattimento del 10% = 0,9</t>
  </si>
  <si>
    <t xml:space="preserve">Incrementi volumetrici e interventi pertinenziali con incremento di volume non superiore al 20% della volumetria dell’edificio principale </t>
  </si>
  <si>
    <t xml:space="preserve">residenziale (euro/mc. 55,94)</t>
  </si>
  <si>
    <t xml:space="preserve">altre destinazioni diverse dal residenziale (euro/mc. 28,75)</t>
  </si>
  <si>
    <t xml:space="preserve">coefficiente tabella C l.r. 1/05 e s.m.i. = 1,2      abbattimento del 50% = 0,5</t>
  </si>
  <si>
    <t xml:space="preserve">Interventi di nuova edificazione di annessi agricoli e serre non facenti parte di aziende agricole</t>
  </si>
  <si>
    <t xml:space="preserve">assimilati ai costi medi comunali riferiti alla categoria funzionale degli insediamenti artigianali ed industriali</t>
  </si>
  <si>
    <t xml:space="preserve">TABELLA I – PERCENTUALI DEL CONTRIBUTO SUL COSTO DI COSTRUZIONE</t>
  </si>
  <si>
    <t xml:space="preserve">INTERVENTI DI NUOVA COSTRUZIONE, AMPLIAMENTO E SOSTITUZIONE</t>
  </si>
  <si>
    <t xml:space="preserve">Abitazioni con superficie utile (SU) &gt; 160 m² e superficie accessoria (SNR) &gt;  60 m² </t>
  </si>
  <si>
    <t xml:space="preserve">Abitazioni con 160 &lt; SU &lt; 130 m²  e SNR &lt;  55 m²                                                                     </t>
  </si>
  <si>
    <t xml:space="preserve">Abitazioni con 130 &lt; SU &lt; 110 m²  e SNR &lt;  50 m²                                                                      </t>
  </si>
  <si>
    <t xml:space="preserve">Abitazioni con 110 &lt; SU &lt;   95 m²  e SNR &lt;  45 m²                                                                      </t>
  </si>
  <si>
    <t xml:space="preserve">Abitazioni con  SU &lt;  95 m²  e SNR &lt;  40m²                                                                                 </t>
  </si>
  <si>
    <t xml:space="preserve">Abitazioni aventi caratteristiche di lusso (D.M. 2-8-1969)                                              </t>
  </si>
  <si>
    <t xml:space="preserve">Qualora la superficie degli accessori superi quella indicata a fianco di ciascuna categoria, la percentuale da applicare è quella della categoria immediatamente superiore.</t>
  </si>
  <si>
    <t xml:space="preserve">Le percentuali sopra indicate sono ridotte di 1 punto nei seguenti casi:</t>
  </si>
  <si>
    <t xml:space="preserve">a) edifici che vengono dotati, ai fini del riscaldamento invernale e/o del condizionamento estivo, di schemi costruttivi  e impianti che utilizzano l’energia solare;</t>
  </si>
  <si>
    <t xml:space="preserve">b) edifici da realizzare con struttura portante in muratura di pietrame e/o laterizio;</t>
  </si>
  <si>
    <t xml:space="preserve">c) interventi di bioedilizia.</t>
  </si>
  <si>
    <t xml:space="preserve">ATTIVITA’ TURISTICO-RICETTIVE, COMMERCIALI, DIREZIONALI E DI SERVIZIO</t>
  </si>
  <si>
    <t xml:space="preserve">Attività turistiche e attività commerciali/di servizio fino a 250 m²                                                              </t>
  </si>
  <si>
    <t xml:space="preserve">Attività direzionali e attività commerciali/di servizio di superficie superiore a 250 m²                          </t>
  </si>
  <si>
    <t xml:space="preserve">INTERVENTI DI RISTRUTTURAZIONE EDILIZIA</t>
  </si>
  <si>
    <t xml:space="preserve">Attività turistiche e attività commerciali/di servizio indipendentemente dalla superficie                                                           </t>
  </si>
  <si>
    <r>
      <rPr>
        <sz val="10"/>
        <rFont val="Arial"/>
        <family val="0"/>
        <charset val="1"/>
      </rPr>
      <t xml:space="preserve">Note: I costi unitari di costruzione, fino al </t>
    </r>
    <r>
      <rPr>
        <b val="true"/>
        <sz val="10"/>
        <rFont val="Arial"/>
        <family val="2"/>
        <charset val="1"/>
      </rPr>
      <t xml:space="preserve">31.12.2024</t>
    </r>
    <r>
      <rPr>
        <sz val="10"/>
        <rFont val="Arial"/>
        <family val="0"/>
        <charset val="1"/>
      </rPr>
      <t xml:space="preserve">, sono i seguenti: a) interventi di nuova costruzione, ampliamento, sostituzione edilizia residenziale </t>
    </r>
    <r>
      <rPr>
        <b val="true"/>
        <sz val="10"/>
        <rFont val="Arial"/>
        <family val="0"/>
        <charset val="1"/>
      </rPr>
      <t xml:space="preserve">312,73</t>
    </r>
    <r>
      <rPr>
        <sz val="10"/>
        <rFont val="Arial"/>
        <family val="0"/>
        <charset val="1"/>
      </rPr>
      <t xml:space="preserve"> €/mq; b) interventi di ristrutturazione edilizia residenziale (costo di cui alla lettera a) x 0,5) = </t>
    </r>
    <r>
      <rPr>
        <b val="true"/>
        <sz val="10"/>
        <rFont val="Arial"/>
        <family val="2"/>
        <charset val="1"/>
      </rPr>
      <t xml:space="preserve">156,36</t>
    </r>
    <r>
      <rPr>
        <sz val="10"/>
        <rFont val="Arial"/>
        <family val="0"/>
        <charset val="1"/>
      </rPr>
      <t xml:space="preserve"> €/mq; c) interventi di nuova costruzione, ampliamento, sostituzione edilizia turistico-ricettivo, commerciale, direzionale, di servizio (costo di cui alla lettera a) x 3) = </t>
    </r>
    <r>
      <rPr>
        <b val="true"/>
        <sz val="10"/>
        <rFont val="Arial"/>
        <family val="0"/>
        <charset val="1"/>
      </rPr>
      <t xml:space="preserve">938,19</t>
    </r>
    <r>
      <rPr>
        <sz val="10"/>
        <rFont val="Arial"/>
        <family val="0"/>
        <charset val="1"/>
      </rPr>
      <t xml:space="preserve"> €/mq. Per le modalità di calcolo del contributo si rimanda all'art. 29 del Regolamento Edilizio.               
</t>
    </r>
  </si>
  <si>
    <t xml:space="preserve">Comune di Calenzano</t>
  </si>
  <si>
    <t xml:space="preserve">Calcolo contributi - Titolo VII L.R. 1/05.</t>
  </si>
  <si>
    <t xml:space="preserve">ISTRUZIONI PER L'USO</t>
  </si>
  <si>
    <t xml:space="preserve">Il documento fornisce automaticamente il conteggio degli oneri di urbanizzazione e del contributo sul costo di costruzione, a partire dai dati quantitativi che debbono essere immessi dal dichiarante.</t>
  </si>
  <si>
    <t xml:space="preserve">Il documento si compone dei seguenti fogli:</t>
  </si>
  <si>
    <t xml:space="preserve">Fronte</t>
  </si>
  <si>
    <t xml:space="preserve">Frontespizio con i dati generali sulla pratica e sulla tipologia di intervento</t>
  </si>
  <si>
    <t xml:space="preserve">Residenziale</t>
  </si>
  <si>
    <t xml:space="preserve">Oneri di urbanizzazione primaria e secondaria per immobili a destinazione RESIDENZIALE</t>
  </si>
  <si>
    <t xml:space="preserve">Produttivo cat. normali</t>
  </si>
  <si>
    <t xml:space="preserve">Oneri di urbanizzazione primaria e secondaria per immobili a destinazione ARTIGIANALE E INDUSTRIALE categorie normali   </t>
  </si>
  <si>
    <t xml:space="preserve">Produttivo cat. Speciali</t>
  </si>
  <si>
    <t xml:space="preserve">Oneri di urbanizzazione primaria e secondaria per immobili a destinazione ARTIGIANALE E INDUSTRIALE categorie speciali (cod. ISTAT 301 - alimentare; 303 tessile; 305 calzature, chimico, cartiere)    </t>
  </si>
  <si>
    <t xml:space="preserve">Commerciale</t>
  </si>
  <si>
    <t xml:space="preserve">Oneri di urbanizzazione primaria e secondaria per immobili a destinazione COMMERCIALE, TURISTICA, DIREZIONALE, DI SERVIZIO</t>
  </si>
  <si>
    <t xml:space="preserve">Ingrosso</t>
  </si>
  <si>
    <t xml:space="preserve">Oneri di urbanizzazione primaria e secondaria per immobili a destinazione COMMERCIO ALL'INGROSSO e DEPOSITI</t>
  </si>
  <si>
    <t xml:space="preserve">Verdi</t>
  </si>
  <si>
    <t xml:space="preserve">Oneri connessi al miglioramento ambientale del sistema insediativo agricolo - oneri verdi)</t>
  </si>
  <si>
    <t xml:space="preserve">Costo-mq</t>
  </si>
  <si>
    <t xml:space="preserve">Determinazione  del costo base per il calcolo del  contributo sul costo di costruzione - nuova costrzuione RESIDENZIALE</t>
  </si>
  <si>
    <t xml:space="preserve">Costo residenziale</t>
  </si>
  <si>
    <t xml:space="preserve">Calcolo del contributo sul costo  di costruzione per nuova costruzione di immobili a destinazione RESIDENZIALE (composto da 11 schede: stampare solo  quelle utilizzate)</t>
  </si>
  <si>
    <t xml:space="preserve">Costo commercio</t>
  </si>
  <si>
    <t xml:space="preserve">Calcolo del contributo sul costo di costruzione per immobili a destinazione COMMERCIALE, TURISTICA, DIREZIONALE e DI SERVIZIO</t>
  </si>
  <si>
    <t xml:space="preserve">costo ristrutturazione residenziale</t>
  </si>
  <si>
    <t xml:space="preserve">Calcolo del contributo sul costo  di costruzione per immobili a destinazione RESIDENZIALE  (interventi di ristrutturazione edilizia)</t>
  </si>
  <si>
    <t xml:space="preserve">Riepilogo</t>
  </si>
  <si>
    <t xml:space="preserve">PROSPETTO RIEPILOGATIVO DEI CONTRIBUTI DOVUTI</t>
  </si>
  <si>
    <t xml:space="preserve">MODALITA' DI COMPILAZIONE</t>
  </si>
  <si>
    <t xml:space="preserve">Compilare soltanto i FOGLI attinenti all'intervento</t>
  </si>
  <si>
    <t xml:space="preserve">Le caselle da compilare sono soltanto quelle evidenziate in AZZURRO: se non attinenti, debbono essere lasciate in bianco</t>
  </si>
  <si>
    <t xml:space="preserve">Le altre caselle sono PROTETTE, quindi non modificabili in alcun modo</t>
  </si>
  <si>
    <t xml:space="preserve">Le opzioni abbinate a QUADRATINI debbono essere indicate con una "x" oppure, se non attinenti, lasciate in bianco</t>
  </si>
  <si>
    <t xml:space="preserve">ONERI DI URBANIZZAZIONE: nei fogli corrispondenti alle destinazioni d'uso devono essere inserite soltanto le superfici o i volumi interessati dall'intervento.</t>
  </si>
  <si>
    <t xml:space="preserve">Per il calcolo del contributo sul costo di costruzione, nel caso di nuova costruzione/sostituzione edilizia/ ampliamento residenziale dev'essere prima compilato il foglio  "costo a mq", prendendo in considerazione l'intero edificio. Una volta determinato il costo a mq dev'essere compilato, per ciascuna unità immobiliare, il foglio "costo residenziale" . Nei fogli "costo commercio" e "ristrutturazione edilizia" debbono essere inserite soltanto le superfici effettivamente interessate dall'intervento.</t>
  </si>
  <si>
    <t xml:space="preserve">N.B.</t>
  </si>
  <si>
    <t xml:space="preserve">Al documento debbono essere allegati schemi dimostrativi dei dati (superfici e volumi) riportati in tabella.</t>
  </si>
  <si>
    <t xml:space="preserve">COMUNE DI CALENZANO</t>
  </si>
  <si>
    <t xml:space="preserve">CALCOLO ONERI DI URBANIZZAZIONE</t>
  </si>
  <si>
    <t xml:space="preserve">Sig.</t>
  </si>
  <si>
    <t xml:space="preserve">progetto n.</t>
  </si>
  <si>
    <t xml:space="preserve">categoria di intervento</t>
  </si>
  <si>
    <t xml:space="preserve">volume di intervento</t>
  </si>
  <si>
    <t xml:space="preserve">costo unitario</t>
  </si>
  <si>
    <t xml:space="preserve">importo da versare</t>
  </si>
  <si>
    <t xml:space="preserve">mc</t>
  </si>
  <si>
    <t xml:space="preserve">€ / mc</t>
  </si>
  <si>
    <t xml:space="preserve">€</t>
  </si>
  <si>
    <t xml:space="preserve">Interventi di restauro e ristrutturazione edilizia conservativa, recupero sottotetti</t>
  </si>
  <si>
    <t xml:space="preserve">urb. primaria</t>
  </si>
  <si>
    <t xml:space="preserve">urb. secondaria</t>
  </si>
  <si>
    <t xml:space="preserve">3 a</t>
  </si>
  <si>
    <t xml:space="preserve">Interventi di sostituzione edilizia senza cambio di destinazione</t>
  </si>
  <si>
    <t xml:space="preserve">3 b</t>
  </si>
  <si>
    <t xml:space="preserve">Interventi di sostituzione edilizia con cambio di destinazione</t>
  </si>
  <si>
    <t xml:space="preserve">Interventi pertinenziali con incremento di volume non sup. 20% dell’edificio principale</t>
  </si>
  <si>
    <t xml:space="preserve">6 a</t>
  </si>
  <si>
    <t xml:space="preserve">Nuova edificazione/Ampliamento/Sopraelevazione/Ristrutturazione urbanistica</t>
  </si>
  <si>
    <t xml:space="preserve">Con indice fabbricabilità inf. 1,5 mc/mq </t>
  </si>
  <si>
    <t xml:space="preserve">6 b</t>
  </si>
  <si>
    <t xml:space="preserve">Con indice fabbricabilità tra 1,5 e 3 mc/mq</t>
  </si>
  <si>
    <t xml:space="preserve">6 c</t>
  </si>
  <si>
    <t xml:space="preserve">Con indice fabbricabilità sup. 3 mc/mq</t>
  </si>
  <si>
    <t xml:space="preserve">SOMMA</t>
  </si>
  <si>
    <t xml:space="preserve"> INSEDIAMENTI ARTIGIANALI E INDUSTRIALI CATEGORIE NORMALI</t>
  </si>
  <si>
    <r>
      <rPr>
        <sz val="9"/>
        <rFont val="Times New Roman"/>
        <family val="1"/>
        <charset val="1"/>
      </rPr>
      <t xml:space="preserve">sup. di intervento      </t>
    </r>
    <r>
      <rPr>
        <i val="true"/>
        <sz val="9"/>
        <rFont val="Times New Roman"/>
        <family val="1"/>
        <charset val="1"/>
      </rPr>
      <t xml:space="preserve">mq</t>
    </r>
  </si>
  <si>
    <r>
      <rPr>
        <sz val="9"/>
        <rFont val="Times New Roman"/>
        <family val="1"/>
        <charset val="1"/>
      </rPr>
      <t xml:space="preserve">costo unitario   </t>
    </r>
    <r>
      <rPr>
        <i val="true"/>
        <sz val="9"/>
        <rFont val="Times New Roman"/>
        <family val="1"/>
        <charset val="1"/>
      </rPr>
      <t xml:space="preserve">€ / mq</t>
    </r>
  </si>
  <si>
    <t xml:space="preserve">importo da versare         €</t>
  </si>
  <si>
    <t xml:space="preserve">1 a</t>
  </si>
  <si>
    <t xml:space="preserve">Interventi di restauro e ristrutturazione edilizia conservativa e realizz. soppalchi e solaio interpiano</t>
  </si>
  <si>
    <t xml:space="preserve">1 b</t>
  </si>
  <si>
    <t xml:space="preserve">con cambiamento dell'originaria destinazione residenziale</t>
  </si>
  <si>
    <t xml:space="preserve">2 a</t>
  </si>
  <si>
    <t xml:space="preserve">2 b</t>
  </si>
  <si>
    <t xml:space="preserve">Manufatti a carattere temporaneo art. 27 Regolamento Edilizio</t>
  </si>
  <si>
    <t xml:space="preserve">.</t>
  </si>
  <si>
    <t xml:space="preserve">COMUNE DI CALENZANO </t>
  </si>
  <si>
    <t xml:space="preserve"> INSEDIAMENTI ARTIGIANALI E INDUSTRIALI CATEGORIE SPECIALI</t>
  </si>
  <si>
    <t xml:space="preserve">COMUNE DI CALENZANO  </t>
  </si>
  <si>
    <t xml:space="preserve"> INSEDIAMENTI COMMERCIALI, TURISTICI, DIREZIONALI, DI SERVIZIO</t>
  </si>
  <si>
    <t xml:space="preserve">Opere a carattere  stagionale (Dehors) art. 28 Regolamento Edilizio</t>
  </si>
  <si>
    <t xml:space="preserve"> INSEDIAMENTI COMMERCIALI ALL'INGROSSO E DEPOSITI</t>
  </si>
  <si>
    <t xml:space="preserve">superficie di intervento</t>
  </si>
  <si>
    <t xml:space="preserve">mq</t>
  </si>
  <si>
    <t xml:space="preserve">€/mq</t>
  </si>
  <si>
    <t xml:space="preserve">5 a</t>
  </si>
  <si>
    <t xml:space="preserve">5 b</t>
  </si>
  <si>
    <t xml:space="preserve">5 c</t>
  </si>
  <si>
    <t xml:space="preserve">CALCOLO ONERI VERDI</t>
  </si>
  <si>
    <t xml:space="preserve">Oneri connessi al miglioramento ambientale del sistema insediativo agricolo</t>
  </si>
  <si>
    <t xml:space="preserve">€/mc</t>
  </si>
  <si>
    <t xml:space="preserve">Restauro, ristrutturazione edilizia conservativa, ristrutturazione edilizia ricostruttiva e recupero sottotetti a fini abitativi di edifici non rurali</t>
  </si>
  <si>
    <t xml:space="preserve">Restauro, ristrutturazione edilizia conservativa, ristrutturazione edilizia ricostruttiva e recupero sottotetti a fini abitativi con mutamento della destinazione d’uso rurale</t>
  </si>
  <si>
    <t xml:space="preserve">Incrementi volumetrici e interventi pertinenziali con incremento di volume non sup. 20% dell’edificio principale</t>
  </si>
  <si>
    <t xml:space="preserve">ALTRE DESTINAZIONI diverse dal residenziale</t>
  </si>
  <si>
    <t xml:space="preserve">Restauro, ristrutturazione edilizia conservativa, ristrutturazione edilizia ricostruttiva e recupero sottotetti a fini abitativi di edifici non rurali </t>
  </si>
  <si>
    <t xml:space="preserve">Oneri annessi agricoli e serre non facenti parte di aziende agricole</t>
  </si>
  <si>
    <t xml:space="preserve">Urbanizzazione primaria</t>
  </si>
  <si>
    <t xml:space="preserve">Urbanizzazione secondaria</t>
  </si>
  <si>
    <t xml:space="preserve">AUTOCALCOLO COSTO DI COSTRUZIONE</t>
  </si>
  <si>
    <t xml:space="preserve">DETERMINAZIONE DEL COSTO DI COSTRUZIONE A MQ</t>
  </si>
  <si>
    <t xml:space="preserve">N.B. Compilare una sola scheda per l'intero edificio</t>
  </si>
  <si>
    <t xml:space="preserve">INCREMENTO PER SUPERFICIE UTILE ABITABILE  (art. 5 D.M. 10/5/77)</t>
  </si>
  <si>
    <t xml:space="preserve">classe di superficie utile</t>
  </si>
  <si>
    <t xml:space="preserve">n. alloggi</t>
  </si>
  <si>
    <t xml:space="preserve">superficie utile abitabile</t>
  </si>
  <si>
    <t xml:space="preserve">rapporto rispetto al totale</t>
  </si>
  <si>
    <t xml:space="preserve">% incremento</t>
  </si>
  <si>
    <t xml:space="preserve">incremento per classi di superficie</t>
  </si>
  <si>
    <t xml:space="preserve">(=3:Su)</t>
  </si>
  <si>
    <t xml:space="preserve">(=4x5)</t>
  </si>
  <si>
    <t xml:space="preserve">&lt; 95</t>
  </si>
  <si>
    <t xml:space="preserve">95/110</t>
  </si>
  <si>
    <t xml:space="preserve">110/130</t>
  </si>
  <si>
    <t xml:space="preserve">130/160</t>
  </si>
  <si>
    <t xml:space="preserve">&gt;160</t>
  </si>
  <si>
    <t xml:space="preserve"> </t>
  </si>
  <si>
    <t xml:space="preserve">Su</t>
  </si>
  <si>
    <t xml:space="preserve">i1</t>
  </si>
  <si>
    <t xml:space="preserve">INCREMENTO PER SERVIZI ED ACCESSORI  (art. 6 D.M. 10/5/77)</t>
  </si>
  <si>
    <t xml:space="preserve">destinazione</t>
  </si>
  <si>
    <t xml:space="preserve">(Snr/Su)x100</t>
  </si>
  <si>
    <t xml:space="preserve">cantine, soffitte, centrali termiche e simili</t>
  </si>
  <si>
    <t xml:space="preserve">&lt;50</t>
  </si>
  <si>
    <t xml:space="preserve">Autorimesse</t>
  </si>
  <si>
    <t xml:space="preserve">50,01/75</t>
  </si>
  <si>
    <t xml:space="preserve">Androni di ingresso e porticati liberi</t>
  </si>
  <si>
    <t xml:space="preserve">75,01/100</t>
  </si>
  <si>
    <t xml:space="preserve">Logge e balconi</t>
  </si>
  <si>
    <t xml:space="preserve">&gt;100</t>
  </si>
  <si>
    <t xml:space="preserve">Snr</t>
  </si>
  <si>
    <t xml:space="preserve">Rapporto tra Snr e Su (Snr/Su)x100</t>
  </si>
  <si>
    <t xml:space="preserve">i2</t>
  </si>
  <si>
    <t xml:space="preserve">INCREMENTO PER CARATTERISTICHE PARTICOLARI  (art. 7 D.M. 10/5/77)</t>
  </si>
  <si>
    <t xml:space="preserve">Caratteristiche</t>
  </si>
  <si>
    <t xml:space="preserve"> numero di caratteristiche</t>
  </si>
  <si>
    <t xml:space="preserve">presenza di più di un ascensore per ogni scala se questa serve meno di sei piani fuori terra</t>
  </si>
  <si>
    <t xml:space="preserve">scala di servizio non prescritta da Leggi o Regolamenti o imposta da necessità di prevenzione infortuni o incendi</t>
  </si>
  <si>
    <t xml:space="preserve">altezza media libera di piano superiore a ml. 2,70</t>
  </si>
  <si>
    <t xml:space="preserve">piscina coperta o scoperta a servizio di meno di 15 U.I.</t>
  </si>
  <si>
    <t xml:space="preserve">alloggi di custodia a servizio di meno di 15 U.I.</t>
  </si>
  <si>
    <t xml:space="preserve">i3</t>
  </si>
  <si>
    <t xml:space="preserve">DETERMINAZIONE DEL COSTO A MQ DI COSTRUZIONE MAGGIORATO</t>
  </si>
  <si>
    <t xml:space="preserve">classe di incremento</t>
  </si>
  <si>
    <t xml:space="preserve">classe edificio</t>
  </si>
  <si>
    <t xml:space="preserve">maggiorazione</t>
  </si>
  <si>
    <t xml:space="preserve">costo di costruzione</t>
  </si>
  <si>
    <t xml:space="preserve">TOTALE INCREMENTI (i1+i2+i3)</t>
  </si>
  <si>
    <t xml:space="preserve">&lt;=5</t>
  </si>
  <si>
    <t xml:space="preserve">I</t>
  </si>
  <si>
    <t xml:space="preserve">nessuna</t>
  </si>
  <si>
    <t xml:space="preserve">5,01/10</t>
  </si>
  <si>
    <t xml:space="preserve">II</t>
  </si>
  <si>
    <t xml:space="preserve">10,01/15</t>
  </si>
  <si>
    <t xml:space="preserve">III</t>
  </si>
  <si>
    <t xml:space="preserve">15,01/20</t>
  </si>
  <si>
    <t xml:space="preserve">IV</t>
  </si>
  <si>
    <t xml:space="preserve">20,01/25</t>
  </si>
  <si>
    <t xml:space="preserve">V</t>
  </si>
  <si>
    <t xml:space="preserve">25,01/30</t>
  </si>
  <si>
    <t xml:space="preserve">VI</t>
  </si>
  <si>
    <t xml:space="preserve">30,01/35</t>
  </si>
  <si>
    <t xml:space="preserve">VII</t>
  </si>
  <si>
    <t xml:space="preserve">35,01/40</t>
  </si>
  <si>
    <t xml:space="preserve">VIII</t>
  </si>
  <si>
    <t xml:space="preserve">40,01/45</t>
  </si>
  <si>
    <t xml:space="preserve">IX</t>
  </si>
  <si>
    <t xml:space="preserve">45,01/50</t>
  </si>
  <si>
    <t xml:space="preserve">X</t>
  </si>
  <si>
    <t xml:space="preserve">oltre 50</t>
  </si>
  <si>
    <t xml:space="preserve">XI</t>
  </si>
  <si>
    <t xml:space="preserve">Costo di costruzione al mq</t>
  </si>
  <si>
    <t xml:space="preserve">CALCOLO COSTO DI COSTRUZIONE</t>
  </si>
  <si>
    <t xml:space="preserve">INSEDIAMENTI RESIDENZIALI  (nuovo – ampliamento – sostituzione)</t>
  </si>
  <si>
    <t xml:space="preserve">N.B. Compilare una  scheda per ciascuna unità immobiliare</t>
  </si>
  <si>
    <t xml:space="preserve">unità imm.re</t>
  </si>
  <si>
    <t xml:space="preserve">DETERMINAZIONE DEL COSTO DI COSTRUZIONE</t>
  </si>
  <si>
    <t xml:space="preserve">Superficie utile complessiva dell'unità immobiliare</t>
  </si>
  <si>
    <t xml:space="preserve">Superficie accessoria complessiva dell'unità immobiliare</t>
  </si>
  <si>
    <t xml:space="preserve">a</t>
  </si>
  <si>
    <t xml:space="preserve">SUPERFICIE UTILE (Sua) interessata dall'intervento</t>
  </si>
  <si>
    <t xml:space="preserve">SUPERFICIE ACCESSORIA (Snr) interessata dall'intervento</t>
  </si>
  <si>
    <t xml:space="preserve">b</t>
  </si>
  <si>
    <t xml:space="preserve">x</t>
  </si>
  <si>
    <t xml:space="preserve">=</t>
  </si>
  <si>
    <t xml:space="preserve">A</t>
  </si>
  <si>
    <t xml:space="preserve">SUPERFICIE COMPLESSIVA (a+b)</t>
  </si>
  <si>
    <t xml:space="preserve">B</t>
  </si>
  <si>
    <t xml:space="preserve">COSTO DI COSTRUZIONE A MQ secondo il D.M. 10/5/75</t>
  </si>
  <si>
    <t xml:space="preserve">(risultante dal prospetto a retro)</t>
  </si>
  <si>
    <t xml:space="preserve">C</t>
  </si>
  <si>
    <t xml:space="preserve">COSTO DI COSTRUZIONE (AxB)</t>
  </si>
  <si>
    <t xml:space="preserve">DETERMINAZIONE DELLA PERCENTUALE DI CONTRIBUTO SUL COSTO DI COSTRUZIONE</t>
  </si>
  <si>
    <t xml:space="preserve">% contributo</t>
  </si>
  <si>
    <t xml:space="preserve">superficie accessoria</t>
  </si>
  <si>
    <t xml:space="preserve">% contributo adeguata</t>
  </si>
  <si>
    <t xml:space="preserve">oltre 60 mq</t>
  </si>
  <si>
    <t xml:space="preserve">oltre 160 mq</t>
  </si>
  <si>
    <t xml:space="preserve">fino a 60 mq</t>
  </si>
  <si>
    <t xml:space="preserve">tra 160 e 130 mq</t>
  </si>
  <si>
    <t xml:space="preserve">fino a 55 mq</t>
  </si>
  <si>
    <t xml:space="preserve">tra 130 e 110 mq</t>
  </si>
  <si>
    <t xml:space="preserve">fino a 50 mq</t>
  </si>
  <si>
    <t xml:space="preserve">tra 110 e 95 mq</t>
  </si>
  <si>
    <t xml:space="preserve">fino a 45 mq</t>
  </si>
  <si>
    <t xml:space="preserve">inferiore a 95 mq</t>
  </si>
  <si>
    <t xml:space="preserve">fino a 40 mq</t>
  </si>
  <si>
    <t xml:space="preserve">abitazioni di lusso</t>
  </si>
  <si>
    <t xml:space="preserve">    </t>
  </si>
  <si>
    <t xml:space="preserve">Edifici dotati di impianti ad energia solare</t>
  </si>
  <si>
    <t xml:space="preserve">Edifici con struttura portante in pietrame e/o laterizio</t>
  </si>
  <si>
    <t xml:space="preserve">Interventi di bioarchitettura</t>
  </si>
  <si>
    <t xml:space="preserve">Percentuale  di contributo</t>
  </si>
  <si>
    <t xml:space="preserve">DETERMINAZIONE DEL CONTRIBUTO DA VERSARE</t>
  </si>
  <si>
    <t xml:space="preserve">Costo di costruzione (C)</t>
  </si>
  <si>
    <t xml:space="preserve">percentuale di contributo (come sopra determinata)</t>
  </si>
  <si>
    <t xml:space="preserve">%</t>
  </si>
  <si>
    <t xml:space="preserve">IMPORTO CONTRIBUTO </t>
  </si>
  <si>
    <t xml:space="preserve">INSEDIAMENTI RESIDENZIALI  (ristrutturazione)</t>
  </si>
  <si>
    <t xml:space="preserve">sig</t>
  </si>
  <si>
    <r>
      <rPr>
        <b val="true"/>
        <sz val="12"/>
        <rFont val="Times New Roman"/>
        <family val="1"/>
        <charset val="1"/>
      </rPr>
      <t xml:space="preserve">INSEDIAMENTI TURISTICO RICETTIVI, COMMERCIALI, DIREZIONALI E DI SERVIZIO – </t>
    </r>
    <r>
      <rPr>
        <b val="true"/>
        <sz val="12"/>
        <color rgb="FF1B75BC"/>
        <rFont val="Times New Roman"/>
        <family val="1"/>
        <charset val="1"/>
      </rPr>
      <t xml:space="preserve">superfici FINO a 250 mq
</t>
    </r>
    <r>
      <rPr>
        <b val="true"/>
        <sz val="12"/>
        <color rgb="FFED1C24"/>
        <rFont val="Times New Roman"/>
        <family val="1"/>
        <charset val="1"/>
      </rPr>
      <t xml:space="preserve">→ nuovo – ampliamento – sostituzione</t>
    </r>
  </si>
  <si>
    <t xml:space="preserve">SUPERFICIE DI INTERVENTO</t>
  </si>
  <si>
    <t xml:space="preserve">COSTO DI COSTRUZIONE A MQ </t>
  </si>
  <si>
    <t xml:space="preserve">D</t>
  </si>
  <si>
    <t xml:space="preserve">PERCENTUALE DI APPLICAZIONE DEL COSTO</t>
  </si>
  <si>
    <t xml:space="preserve">E</t>
  </si>
  <si>
    <t xml:space="preserve">IMPORTO CONTRIBUTO (CxD)</t>
  </si>
  <si>
    <r>
      <rPr>
        <b val="true"/>
        <sz val="12"/>
        <rFont val="Times New Roman"/>
        <family val="1"/>
        <charset val="1"/>
      </rPr>
      <t xml:space="preserve">INSEDIAMENTI TURISTICO RICETTIVI, COMMERCIALI, DIREZIONALI E DI SERVIZIO – </t>
    </r>
    <r>
      <rPr>
        <b val="true"/>
        <sz val="12"/>
        <color rgb="FF0066B3"/>
        <rFont val="Times New Roman"/>
        <family val="1"/>
        <charset val="1"/>
      </rPr>
      <t xml:space="preserve">superfici SUPERIORI a 250 mq  
</t>
    </r>
    <r>
      <rPr>
        <b val="true"/>
        <sz val="12"/>
        <color rgb="FFED1C24"/>
        <rFont val="Times New Roman"/>
        <family val="1"/>
        <charset val="1"/>
      </rPr>
      <t xml:space="preserve">→ nuovo – ampliamento – sostituzione</t>
    </r>
  </si>
  <si>
    <r>
      <rPr>
        <b val="true"/>
        <sz val="12"/>
        <rFont val="Times New Roman"/>
        <family val="1"/>
        <charset val="1"/>
      </rPr>
      <t xml:space="preserve">INSEDIAMENTI TURISTICO RICETTIVI, COMMERCIALI, DIREZIONALI E DI SERVIZIO – </t>
    </r>
    <r>
      <rPr>
        <b val="true"/>
        <sz val="12"/>
        <color rgb="FF1B75BC"/>
        <rFont val="Times New Roman"/>
        <family val="1"/>
        <charset val="1"/>
      </rPr>
      <t xml:space="preserve">qualsiasi superficie
</t>
    </r>
    <r>
      <rPr>
        <b val="true"/>
        <sz val="12"/>
        <color rgb="FFED1C24"/>
        <rFont val="Times New Roman"/>
        <family val="1"/>
        <charset val="1"/>
      </rPr>
      <t xml:space="preserve">→ ristrutturazione</t>
    </r>
  </si>
  <si>
    <t xml:space="preserve">PERIZIA</t>
  </si>
  <si>
    <t xml:space="preserve">IMPORTO CONTRIBUTO (AxB)</t>
  </si>
  <si>
    <t xml:space="preserve">CALCOLO CONTRIBUTI</t>
  </si>
  <si>
    <t xml:space="preserve">Sig</t>
  </si>
  <si>
    <t xml:space="preserve">Oneri di urbanizzazione</t>
  </si>
  <si>
    <t xml:space="preserve">primaria</t>
  </si>
  <si>
    <t xml:space="preserve">secondaria</t>
  </si>
  <si>
    <t xml:space="preserve">Oneri verdi</t>
  </si>
  <si>
    <t xml:space="preserve">Costo di costruzione</t>
  </si>
  <si>
    <t xml:space="preserve">TOTALE CONTRIBUTO DOVUTO</t>
  </si>
  <si>
    <t xml:space="preserve">MODALITA' DI PAGAMENTO</t>
  </si>
  <si>
    <r>
      <rPr>
        <b val="true"/>
        <sz val="14"/>
        <rFont val="Century Gothic"/>
        <family val="2"/>
        <charset val="1"/>
      </rPr>
      <t xml:space="preserve">RATEIZZAZIONE (6 rate) </t>
    </r>
    <r>
      <rPr>
        <b val="true"/>
        <sz val="10"/>
        <rFont val="Century Gothic"/>
        <family val="0"/>
        <charset val="1"/>
      </rPr>
      <t xml:space="preserve">(*) Art. 29 del regolamento edilizio</t>
    </r>
  </si>
  <si>
    <t xml:space="preserve">contributi           (inserire cifra totale)</t>
  </si>
  <si>
    <t xml:space="preserve">capitale da rateizzare</t>
  </si>
  <si>
    <t xml:space="preserve">tasso d'interesse semestrale (%) =</t>
  </si>
  <si>
    <t xml:space="preserve">ai sensi della delibera di Consiglio Comunale n. 4 del 3-2-2014</t>
  </si>
  <si>
    <t xml:space="preserve">N° Rata</t>
  </si>
  <si>
    <t xml:space="preserve">Importo Rata</t>
  </si>
  <si>
    <t xml:space="preserve">Quota Interessi</t>
  </si>
  <si>
    <t xml:space="preserve">Quota Capitale</t>
  </si>
  <si>
    <t xml:space="preserve">Debito Residuo</t>
  </si>
  <si>
    <t xml:space="preserve">Scadenza      Rata</t>
  </si>
  <si>
    <r>
      <rPr>
        <b val="true"/>
        <sz val="8"/>
        <rFont val="Century Gothic"/>
        <family val="2"/>
        <charset val="1"/>
      </rPr>
      <t xml:space="preserve">Ogni 6 mesi</t>
    </r>
    <r>
      <rPr>
        <sz val="8"/>
        <rFont val="Century Gothic"/>
        <family val="2"/>
        <charset val="1"/>
      </rPr>
      <t xml:space="preserve"> dalla data di presentazione della SCIA o dal rilascio del permesso di costruire</t>
    </r>
  </si>
  <si>
    <t xml:space="preserve">Importo delle rate dilaz.</t>
  </si>
  <si>
    <t xml:space="preserve">10% incremento</t>
  </si>
  <si>
    <t xml:space="preserve">Totale fidejussione</t>
  </si>
  <si>
    <t xml:space="preserve">per eventuali sanzioni</t>
  </si>
  <si>
    <r>
      <rPr>
        <b val="true"/>
        <sz val="10"/>
        <rFont val="Century Gothic"/>
        <family val="2"/>
        <charset val="1"/>
      </rPr>
      <t xml:space="preserve">acconto </t>
    </r>
    <r>
      <rPr>
        <sz val="8"/>
        <rFont val="Century Gothic"/>
        <family val="2"/>
        <charset val="1"/>
      </rPr>
      <t xml:space="preserve">(prima del rilascio nei casi di permesso di costruire)</t>
    </r>
  </si>
  <si>
    <t xml:space="preserve">  Gli importi sono in euro</t>
  </si>
</sst>
</file>

<file path=xl/styles.xml><?xml version="1.0" encoding="utf-8"?>
<styleSheet xmlns="http://schemas.openxmlformats.org/spreadsheetml/2006/main">
  <numFmts count="15">
    <numFmt numFmtId="164" formatCode="General"/>
    <numFmt numFmtId="165" formatCode="0.00"/>
    <numFmt numFmtId="166" formatCode="0.00%"/>
    <numFmt numFmtId="167" formatCode="0%"/>
    <numFmt numFmtId="168" formatCode="0.0%"/>
    <numFmt numFmtId="169" formatCode="#,##0.00"/>
    <numFmt numFmtId="170" formatCode="[$€-410]\ #,##0.00;[RED]\-[$€-410]\ #,##0.00"/>
    <numFmt numFmtId="171" formatCode="#,##0"/>
    <numFmt numFmtId="172" formatCode="&quot;L. &quot;#,##0.00"/>
    <numFmt numFmtId="173" formatCode="@"/>
    <numFmt numFmtId="174" formatCode="0"/>
    <numFmt numFmtId="175" formatCode="General"/>
    <numFmt numFmtId="176" formatCode="[$€]\ #,##0.00\ ;\-[$€]\ #,##0.00\ ;[$€]&quot; -&quot;#\ "/>
    <numFmt numFmtId="177" formatCode="&quot; € &quot;#,##0.00\ ;&quot;-€ &quot;#,##0.00\ ;&quot; € -&quot;#\ ;@\ "/>
    <numFmt numFmtId="178" formatCode="[$-410]dd\-mmm\-yy"/>
  </numFmts>
  <fonts count="72">
    <font>
      <sz val="10"/>
      <name val="Arial"/>
      <family val="2"/>
      <charset val="1"/>
    </font>
    <font>
      <sz val="10"/>
      <name val="Arial"/>
      <family val="0"/>
    </font>
    <font>
      <sz val="10"/>
      <name val="Arial"/>
      <family val="0"/>
    </font>
    <font>
      <sz val="10"/>
      <name val="Arial"/>
      <family val="0"/>
    </font>
    <font>
      <b val="true"/>
      <sz val="14"/>
      <name val="Arial"/>
      <family val="2"/>
      <charset val="1"/>
    </font>
    <font>
      <b val="true"/>
      <sz val="10"/>
      <name val="Arial"/>
      <family val="0"/>
      <charset val="1"/>
    </font>
    <font>
      <sz val="10"/>
      <name val="Arial"/>
      <family val="0"/>
      <charset val="1"/>
    </font>
    <font>
      <b val="true"/>
      <sz val="12"/>
      <name val="Arial"/>
      <family val="2"/>
      <charset val="1"/>
    </font>
    <font>
      <b val="true"/>
      <sz val="10"/>
      <name val="Arial"/>
      <family val="2"/>
      <charset val="1"/>
    </font>
    <font>
      <b val="true"/>
      <sz val="12"/>
      <name val="Arial"/>
      <family val="0"/>
      <charset val="1"/>
    </font>
    <font>
      <b val="true"/>
      <sz val="10"/>
      <color rgb="FFFFFFFF"/>
      <name val="Arial"/>
      <family val="2"/>
      <charset val="1"/>
    </font>
    <font>
      <b val="true"/>
      <sz val="10"/>
      <color rgb="FFFF0000"/>
      <name val="Arial"/>
      <family val="2"/>
      <charset val="1"/>
    </font>
    <font>
      <sz val="10"/>
      <color rgb="FFFFFFFF"/>
      <name val="Arial"/>
      <family val="2"/>
      <charset val="1"/>
    </font>
    <font>
      <u val="single"/>
      <sz val="10"/>
      <name val="Arial"/>
      <family val="0"/>
      <charset val="1"/>
    </font>
    <font>
      <sz val="10"/>
      <color rgb="FF000000"/>
      <name val="Arial"/>
      <family val="2"/>
      <charset val="1"/>
    </font>
    <font>
      <sz val="12"/>
      <name val="Arial"/>
      <family val="0"/>
      <charset val="1"/>
    </font>
    <font>
      <sz val="10"/>
      <color rgb="FFCE181E"/>
      <name val="Arial"/>
      <family val="2"/>
      <charset val="1"/>
    </font>
    <font>
      <sz val="10"/>
      <name val="Times New Roman"/>
      <family val="1"/>
      <charset val="1"/>
    </font>
    <font>
      <sz val="11"/>
      <name val="Times New Roman"/>
      <family val="1"/>
      <charset val="1"/>
    </font>
    <font>
      <b val="true"/>
      <sz val="11"/>
      <name val="Times New Roman"/>
      <family val="1"/>
      <charset val="1"/>
    </font>
    <font>
      <b val="true"/>
      <i val="true"/>
      <sz val="14"/>
      <name val="Times New Roman"/>
      <family val="1"/>
      <charset val="1"/>
    </font>
    <font>
      <sz val="10"/>
      <name val="Arial Narrow"/>
      <family val="2"/>
      <charset val="1"/>
    </font>
    <font>
      <sz val="14"/>
      <name val="Times New Roman"/>
      <family val="1"/>
      <charset val="1"/>
    </font>
    <font>
      <b val="true"/>
      <sz val="12"/>
      <name val="Times New Roman"/>
      <family val="1"/>
      <charset val="1"/>
    </font>
    <font>
      <b val="true"/>
      <sz val="16"/>
      <name val="Times New Roman"/>
      <family val="1"/>
      <charset val="1"/>
    </font>
    <font>
      <b val="true"/>
      <sz val="12"/>
      <name val="Arial Narrow"/>
      <family val="2"/>
      <charset val="1"/>
    </font>
    <font>
      <b val="true"/>
      <sz val="14"/>
      <name val="Times New Roman"/>
      <family val="1"/>
      <charset val="1"/>
    </font>
    <font>
      <b val="true"/>
      <sz val="8"/>
      <name val="Times New Roman"/>
      <family val="1"/>
      <charset val="1"/>
    </font>
    <font>
      <sz val="8"/>
      <name val="Times New Roman"/>
      <family val="1"/>
      <charset val="1"/>
    </font>
    <font>
      <i val="true"/>
      <sz val="8"/>
      <name val="Times New Roman"/>
      <family val="1"/>
      <charset val="1"/>
    </font>
    <font>
      <b val="true"/>
      <sz val="8"/>
      <name val="Arial"/>
      <family val="2"/>
      <charset val="1"/>
    </font>
    <font>
      <b val="true"/>
      <sz val="8"/>
      <name val="Arial Narrow"/>
      <family val="2"/>
      <charset val="1"/>
    </font>
    <font>
      <b val="true"/>
      <sz val="7"/>
      <name val="Times New Roman"/>
      <family val="1"/>
      <charset val="1"/>
    </font>
    <font>
      <i val="true"/>
      <sz val="9"/>
      <name val="Times New Roman"/>
      <family val="1"/>
      <charset val="1"/>
    </font>
    <font>
      <sz val="7"/>
      <name val="Times New Roman"/>
      <family val="1"/>
      <charset val="1"/>
    </font>
    <font>
      <sz val="7"/>
      <name val="Arial"/>
      <family val="2"/>
      <charset val="1"/>
    </font>
    <font>
      <sz val="7"/>
      <name val="Arial Narrow"/>
      <family val="2"/>
      <charset val="1"/>
    </font>
    <font>
      <b val="true"/>
      <sz val="10"/>
      <name val="Times New Roman"/>
      <family val="1"/>
      <charset val="1"/>
    </font>
    <font>
      <i val="true"/>
      <sz val="10"/>
      <name val="Times New Roman"/>
      <family val="1"/>
      <charset val="1"/>
    </font>
    <font>
      <sz val="9"/>
      <name val="Times New Roman"/>
      <family val="1"/>
      <charset val="1"/>
    </font>
    <font>
      <i val="true"/>
      <sz val="7"/>
      <name val="Times New Roman"/>
      <family val="1"/>
      <charset val="1"/>
    </font>
    <font>
      <i val="true"/>
      <sz val="10"/>
      <name val="Arial Narrow"/>
      <family val="2"/>
      <charset val="1"/>
    </font>
    <font>
      <sz val="8"/>
      <name val="Arial Narrow"/>
      <family val="2"/>
      <charset val="1"/>
    </font>
    <font>
      <sz val="16"/>
      <name val="Times New Roman"/>
      <family val="1"/>
      <charset val="1"/>
    </font>
    <font>
      <b val="true"/>
      <sz val="9"/>
      <name val="Times New Roman"/>
      <family val="1"/>
      <charset val="1"/>
    </font>
    <font>
      <sz val="12"/>
      <name val="Times New Roman"/>
      <family val="1"/>
      <charset val="1"/>
    </font>
    <font>
      <b val="true"/>
      <sz val="12"/>
      <color rgb="FFFF0000"/>
      <name val="Times New Roman"/>
      <family val="1"/>
      <charset val="1"/>
    </font>
    <font>
      <b val="true"/>
      <sz val="14"/>
      <color rgb="FFFF0000"/>
      <name val="Times New Roman"/>
      <family val="1"/>
      <charset val="1"/>
    </font>
    <font>
      <sz val="8"/>
      <name val="Arial"/>
      <family val="2"/>
      <charset val="1"/>
    </font>
    <font>
      <b val="true"/>
      <i val="true"/>
      <sz val="10"/>
      <name val="Times New Roman"/>
      <family val="1"/>
      <charset val="1"/>
    </font>
    <font>
      <sz val="10"/>
      <color rgb="FFFF0000"/>
      <name val="Arial"/>
      <family val="2"/>
      <charset val="1"/>
    </font>
    <font>
      <b val="true"/>
      <sz val="12"/>
      <color rgb="FF1B75BC"/>
      <name val="Times New Roman"/>
      <family val="1"/>
      <charset val="1"/>
    </font>
    <font>
      <b val="true"/>
      <sz val="12"/>
      <color rgb="FFED1C24"/>
      <name val="Times New Roman"/>
      <family val="1"/>
      <charset val="1"/>
    </font>
    <font>
      <b val="true"/>
      <sz val="12"/>
      <color rgb="FF0066B3"/>
      <name val="Times New Roman"/>
      <family val="1"/>
      <charset val="1"/>
    </font>
    <font>
      <sz val="10"/>
      <color rgb="FF000000"/>
      <name val="Times New Roman"/>
      <family val="0"/>
    </font>
    <font>
      <sz val="10"/>
      <color rgb="FF000000"/>
      <name val="Arial"/>
      <family val="0"/>
    </font>
    <font>
      <sz val="8"/>
      <color rgb="FF000000"/>
      <name val="Arial"/>
      <family val="0"/>
    </font>
    <font>
      <sz val="8"/>
      <color rgb="FF000000"/>
      <name val="Times New Roman"/>
      <family val="0"/>
    </font>
    <font>
      <sz val="10"/>
      <name val="Century Gothic"/>
      <family val="2"/>
      <charset val="1"/>
    </font>
    <font>
      <b val="true"/>
      <sz val="14"/>
      <name val="Century Gothic"/>
      <family val="2"/>
      <charset val="1"/>
    </font>
    <font>
      <b val="true"/>
      <sz val="10"/>
      <name val="Century Gothic"/>
      <family val="0"/>
      <charset val="1"/>
    </font>
    <font>
      <b val="true"/>
      <sz val="10"/>
      <name val="Century Gothic"/>
      <family val="2"/>
      <charset val="1"/>
    </font>
    <font>
      <sz val="12"/>
      <name val="Arial"/>
      <family val="2"/>
      <charset val="1"/>
    </font>
    <font>
      <i val="true"/>
      <sz val="10"/>
      <name val="Century Gothic"/>
      <family val="2"/>
      <charset val="1"/>
    </font>
    <font>
      <i val="true"/>
      <sz val="12"/>
      <name val="Century Gothic"/>
      <family val="2"/>
      <charset val="1"/>
    </font>
    <font>
      <b val="true"/>
      <sz val="8"/>
      <name val="Century Gothic"/>
      <family val="2"/>
      <charset val="1"/>
    </font>
    <font>
      <sz val="8"/>
      <name val="Century Gothic"/>
      <family val="2"/>
      <charset val="1"/>
    </font>
    <font>
      <sz val="12"/>
      <name val="Century Gothic"/>
      <family val="0"/>
      <charset val="1"/>
    </font>
    <font>
      <sz val="10"/>
      <name val="Century Gothic"/>
      <family val="0"/>
      <charset val="1"/>
    </font>
    <font>
      <b val="true"/>
      <sz val="12"/>
      <name val="Century Gothic"/>
      <family val="0"/>
      <charset val="1"/>
    </font>
    <font>
      <sz val="8"/>
      <name val="Century Gothic"/>
      <family val="0"/>
      <charset val="1"/>
    </font>
    <font>
      <b val="true"/>
      <sz val="10"/>
      <color rgb="FF000000"/>
      <name val="Arial"/>
      <family val="0"/>
    </font>
  </fonts>
  <fills count="8">
    <fill>
      <patternFill patternType="none"/>
    </fill>
    <fill>
      <patternFill patternType="gray125"/>
    </fill>
    <fill>
      <patternFill patternType="solid">
        <fgColor rgb="FFC0C0C0"/>
        <bgColor rgb="FFCCCCCC"/>
      </patternFill>
    </fill>
    <fill>
      <patternFill patternType="solid">
        <fgColor rgb="FFCCCCCC"/>
        <bgColor rgb="FFC0C0C0"/>
      </patternFill>
    </fill>
    <fill>
      <patternFill patternType="solid">
        <fgColor rgb="FFFFFF00"/>
        <bgColor rgb="FFFFFF00"/>
      </patternFill>
    </fill>
    <fill>
      <patternFill patternType="solid">
        <fgColor rgb="FFFFFFFF"/>
        <bgColor rgb="FFFFFFCC"/>
      </patternFill>
    </fill>
    <fill>
      <patternFill patternType="solid">
        <fgColor rgb="FFCCFFFF"/>
        <bgColor rgb="FFC3F8F3"/>
      </patternFill>
    </fill>
    <fill>
      <patternFill patternType="solid">
        <fgColor rgb="FFC3F8F3"/>
        <bgColor rgb="FFCCFFFF"/>
      </patternFill>
    </fill>
  </fills>
  <borders count="60">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hair"/>
      <right style="hair"/>
      <top style="hair"/>
      <bottom style="hair"/>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top/>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bottom style="thin"/>
      <diagonal/>
    </border>
    <border diagonalUp="false" diagonalDown="false">
      <left/>
      <right style="thin"/>
      <top/>
      <bottom style="thin"/>
      <diagonal/>
    </border>
    <border diagonalUp="false" diagonalDown="false">
      <left style="hair"/>
      <right style="hair"/>
      <top style="hair"/>
      <bottom/>
      <diagonal/>
    </border>
    <border diagonalUp="false" diagonalDown="false">
      <left style="hair"/>
      <right style="hair"/>
      <top/>
      <bottom style="hair"/>
      <diagonal/>
    </border>
    <border diagonalUp="false" diagonalDown="false">
      <left/>
      <right/>
      <top/>
      <bottom style="hair"/>
      <diagonal/>
    </border>
    <border diagonalUp="false" diagonalDown="false">
      <left/>
      <right style="hair"/>
      <top/>
      <bottom style="hair"/>
      <diagonal/>
    </border>
    <border diagonalUp="false" diagonalDown="false">
      <left/>
      <right style="hair"/>
      <top style="hair"/>
      <bottom/>
      <diagonal/>
    </border>
    <border diagonalUp="false" diagonalDown="false">
      <left/>
      <right style="hair"/>
      <top/>
      <bottom/>
      <diagonal/>
    </border>
    <border diagonalUp="false" diagonalDown="false">
      <left style="medium"/>
      <right/>
      <top style="medium"/>
      <bottom/>
      <diagonal/>
    </border>
    <border diagonalUp="false" diagonalDown="false">
      <left style="thin"/>
      <right style="thin"/>
      <top style="medium"/>
      <bottom style="thin"/>
      <diagonal/>
    </border>
    <border diagonalUp="false" diagonalDown="false">
      <left/>
      <right/>
      <top style="medium"/>
      <bottom style="hair"/>
      <diagonal/>
    </border>
    <border diagonalUp="false" diagonalDown="false">
      <left/>
      <right style="hair"/>
      <top style="medium"/>
      <bottom style="hair"/>
      <diagonal/>
    </border>
    <border diagonalUp="false" diagonalDown="false">
      <left style="hair"/>
      <right style="medium"/>
      <top style="medium"/>
      <bottom style="hair"/>
      <diagonal/>
    </border>
    <border diagonalUp="false" diagonalDown="false">
      <left style="hair"/>
      <right style="medium"/>
      <top style="hair"/>
      <bottom style="hair"/>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style="hair"/>
      <right style="medium"/>
      <top style="hair"/>
      <bottom style="medium"/>
      <diagonal/>
    </border>
    <border diagonalUp="false" diagonalDown="false">
      <left/>
      <right/>
      <top style="medium"/>
      <bottom/>
      <diagonal/>
    </border>
    <border diagonalUp="false" diagonalDown="false">
      <left/>
      <right style="medium"/>
      <top style="medium"/>
      <botto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right style="medium"/>
      <top style="hair"/>
      <bottom style="hair"/>
      <diagonal/>
    </border>
    <border diagonalUp="false" diagonalDown="false">
      <left style="medium"/>
      <right style="medium"/>
      <top style="medium"/>
      <bottom style="hair"/>
      <diagonal/>
    </border>
    <border diagonalUp="false" diagonalDown="false">
      <left style="medium"/>
      <right style="medium"/>
      <top style="hair"/>
      <bottom style="medium"/>
      <diagonal/>
    </border>
    <border diagonalUp="false" diagonalDown="false">
      <left style="thin"/>
      <right/>
      <top/>
      <bottom style="hair"/>
      <diagonal/>
    </border>
    <border diagonalUp="false" diagonalDown="false">
      <left style="hair"/>
      <right/>
      <top style="hair"/>
      <bottom/>
      <diagonal/>
    </border>
    <border diagonalUp="false" diagonalDown="false">
      <left/>
      <right style="thin"/>
      <top/>
      <bottom style="hair"/>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right/>
      <top style="hair"/>
      <bottom/>
      <diagonal/>
    </border>
    <border diagonalUp="false" diagonalDown="false">
      <left style="hair"/>
      <right/>
      <top style="hair"/>
      <bottom style="hair"/>
      <diagonal/>
    </border>
    <border diagonalUp="false" diagonalDown="false">
      <left/>
      <right/>
      <top style="hair"/>
      <bottom style="hair"/>
      <diagonal/>
    </border>
    <border diagonalUp="false" diagonalDown="false">
      <left/>
      <right style="hair"/>
      <top style="hair"/>
      <bottom style="hair"/>
      <diagonal/>
    </border>
    <border diagonalUp="false" diagonalDown="false">
      <left/>
      <right style="thin"/>
      <top/>
      <bottom style="medium"/>
      <diagonal/>
    </border>
    <border diagonalUp="false" diagonalDown="false">
      <left/>
      <right style="medium"/>
      <top/>
      <bottom style="thin"/>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style="thin"/>
      <right style="thin"/>
      <top/>
      <bottom style="medium"/>
      <diagonal/>
    </border>
    <border diagonalUp="false" diagonalDown="false">
      <left style="thin"/>
      <right/>
      <top/>
      <bottom style="medium"/>
      <diagonal/>
    </border>
    <border diagonalUp="false" diagonalDown="false">
      <left/>
      <right style="thin"/>
      <top style="medium"/>
      <bottom/>
      <diagonal/>
    </border>
    <border diagonalUp="false" diagonalDown="false">
      <left style="thin"/>
      <right/>
      <top/>
      <bottom style="thick"/>
      <diagonal/>
    </border>
    <border diagonalUp="false" diagonalDown="false">
      <left/>
      <right/>
      <top/>
      <bottom style="thick"/>
      <diagonal/>
    </border>
    <border diagonalUp="false" diagonalDown="false">
      <left/>
      <right style="thin"/>
      <top/>
      <bottom style="thick"/>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6" fillId="0" borderId="0" applyFont="true" applyBorder="false" applyAlignment="true" applyProtection="false">
      <alignment horizontal="general" vertical="bottom" textRotation="0" wrapText="false" indent="0" shrinkToFit="false"/>
    </xf>
  </cellStyleXfs>
  <cellXfs count="55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4" fillId="0" borderId="1" xfId="0" applyFont="true" applyBorder="true" applyAlignment="true" applyProtection="true">
      <alignment horizontal="center" vertical="bottom" textRotation="0" wrapText="false" indent="0" shrinkToFit="false"/>
      <protection locked="true" hidden="false"/>
    </xf>
    <xf numFmtId="164" fontId="5" fillId="0" borderId="2" xfId="0" applyFont="true" applyBorder="true" applyAlignment="true" applyProtection="true">
      <alignment horizontal="left" vertical="bottom" textRotation="0" wrapText="true" indent="0" shrinkToFit="false"/>
      <protection locked="true" hidden="false"/>
    </xf>
    <xf numFmtId="164" fontId="7" fillId="0" borderId="1" xfId="0" applyFont="true" applyBorder="true" applyAlignment="true" applyProtection="true">
      <alignment horizontal="left" vertical="center" textRotation="0" wrapText="false" indent="0" shrinkToFit="false"/>
      <protection locked="true" hidden="false"/>
    </xf>
    <xf numFmtId="164" fontId="0" fillId="0" borderId="1" xfId="0" applyFont="false" applyBorder="true" applyAlignment="true" applyProtection="true">
      <alignment horizontal="general" vertical="bottom" textRotation="0" wrapText="false" indent="0" shrinkToFit="false"/>
      <protection locked="true" hidden="false"/>
    </xf>
    <xf numFmtId="164" fontId="6" fillId="0" borderId="3" xfId="0" applyFont="true" applyBorder="true" applyAlignment="true" applyProtection="true">
      <alignment horizontal="center" vertical="center" textRotation="0" wrapText="true" indent="0" shrinkToFit="false"/>
      <protection locked="true" hidden="false"/>
    </xf>
    <xf numFmtId="164" fontId="6" fillId="0" borderId="4" xfId="0" applyFont="true" applyBorder="true" applyAlignment="true" applyProtection="true">
      <alignment horizontal="center" vertical="center" textRotation="0" wrapText="true" indent="0" shrinkToFit="false"/>
      <protection locked="true" hidden="false"/>
    </xf>
    <xf numFmtId="164" fontId="6" fillId="0" borderId="1" xfId="0" applyFont="true" applyBorder="true" applyAlignment="true" applyProtection="true">
      <alignment horizontal="center" vertical="center" textRotation="0" wrapText="true" indent="0" shrinkToFit="false"/>
      <protection locked="true" hidden="false"/>
    </xf>
    <xf numFmtId="165" fontId="6"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true" hidden="false"/>
    </xf>
    <xf numFmtId="164" fontId="8" fillId="2" borderId="1" xfId="0" applyFont="true" applyBorder="true" applyAlignment="true" applyProtection="true">
      <alignment horizontal="center" vertical="bottom"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5" fontId="5" fillId="0" borderId="1" xfId="0" applyFont="true" applyBorder="true" applyAlignment="true" applyProtection="true">
      <alignment horizontal="center" vertical="center" textRotation="0" wrapText="false" indent="0" shrinkToFit="false"/>
      <protection locked="true" hidden="false"/>
    </xf>
    <xf numFmtId="165" fontId="0" fillId="0" borderId="1" xfId="0" applyFont="false" applyBorder="true" applyAlignment="true" applyProtection="true">
      <alignment horizontal="center" vertical="center" textRotation="0" wrapText="false" indent="0" shrinkToFit="false"/>
      <protection locked="true" hidden="false"/>
    </xf>
    <xf numFmtId="164" fontId="6"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5" fontId="0" fillId="0" borderId="1" xfId="0" applyFont="true" applyBorder="true" applyAlignment="true" applyProtection="true">
      <alignment horizontal="center" vertical="center" textRotation="0" wrapText="false" indent="0" shrinkToFit="false"/>
      <protection locked="true" hidden="false"/>
    </xf>
    <xf numFmtId="164" fontId="8" fillId="2" borderId="3" xfId="0" applyFont="true" applyBorder="true" applyAlignment="true" applyProtection="true">
      <alignment horizontal="center" vertical="center" textRotation="0" wrapText="true" indent="0" shrinkToFit="false"/>
      <protection locked="true" hidden="false"/>
    </xf>
    <xf numFmtId="164" fontId="8" fillId="2" borderId="4"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true" hidden="false"/>
    </xf>
    <xf numFmtId="164" fontId="9" fillId="0" borderId="1" xfId="0" applyFont="true" applyBorder="true" applyAlignment="true" applyProtection="true">
      <alignment horizontal="left" vertical="bottom" textRotation="0" wrapText="false" indent="0" shrinkToFit="false"/>
      <protection locked="true" hidden="false"/>
    </xf>
    <xf numFmtId="166" fontId="10" fillId="0" borderId="0" xfId="0" applyFont="true" applyBorder="false" applyAlignment="true" applyProtection="true">
      <alignment horizontal="general" vertical="bottom" textRotation="0" wrapText="false" indent="0" shrinkToFit="false"/>
      <protection locked="true" hidden="false"/>
    </xf>
    <xf numFmtId="166" fontId="6" fillId="0" borderId="0" xfId="19" applyFont="true" applyBorder="true" applyAlignment="true" applyProtection="true">
      <alignment horizontal="general" vertical="bottom" textRotation="0" wrapText="false" indent="0" shrinkToFit="false"/>
      <protection locked="true" hidden="false"/>
    </xf>
    <xf numFmtId="164" fontId="0" fillId="0" borderId="5" xfId="0" applyFont="false" applyBorder="true" applyAlignment="true" applyProtection="true">
      <alignment horizontal="center" vertical="center" textRotation="0" wrapText="false" indent="0" shrinkToFit="false"/>
      <protection locked="true" hidden="false"/>
    </xf>
    <xf numFmtId="164" fontId="11" fillId="0" borderId="4" xfId="0" applyFont="true" applyBorder="true" applyAlignment="true" applyProtection="true">
      <alignment horizontal="right" vertical="center" textRotation="0" wrapText="true" indent="0" shrinkToFit="false"/>
      <protection locked="true" hidden="false"/>
    </xf>
    <xf numFmtId="168" fontId="11" fillId="0" borderId="1" xfId="19" applyFont="true" applyBorder="true" applyAlignment="true" applyProtection="true">
      <alignment horizontal="center" vertical="bottom" textRotation="0" wrapText="false" indent="0" shrinkToFit="false"/>
      <protection locked="true" hidden="false"/>
    </xf>
    <xf numFmtId="164" fontId="8"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2" borderId="1" xfId="0" applyFont="true" applyBorder="true" applyAlignment="true" applyProtection="true">
      <alignment horizontal="center" vertical="center" textRotation="0" wrapText="false" indent="0" shrinkToFit="false"/>
      <protection locked="true" hidden="false"/>
    </xf>
    <xf numFmtId="164" fontId="0" fillId="2" borderId="1" xfId="0" applyFont="true" applyBorder="true" applyAlignment="true" applyProtection="true">
      <alignment horizontal="general" vertical="center" textRotation="0" wrapText="false" indent="0" shrinkToFit="false"/>
      <protection locked="true" hidden="false"/>
    </xf>
    <xf numFmtId="164" fontId="0" fillId="2" borderId="1" xfId="0" applyFont="true" applyBorder="true" applyAlignment="true" applyProtection="true">
      <alignment horizontal="center" vertical="center" textRotation="0" wrapText="true" indent="0" shrinkToFit="false"/>
      <protection locked="true" hidden="false"/>
    </xf>
    <xf numFmtId="164" fontId="14" fillId="0" borderId="6" xfId="0" applyFont="true" applyBorder="true" applyAlignment="true" applyProtection="true">
      <alignment horizontal="center" vertical="center" textRotation="0" wrapText="true" indent="0" shrinkToFit="false"/>
      <protection locked="true" hidden="false"/>
    </xf>
    <xf numFmtId="164" fontId="0" fillId="0" borderId="3" xfId="0" applyFont="false" applyBorder="true" applyAlignment="true" applyProtection="true">
      <alignment horizontal="center" vertical="center" textRotation="0" wrapText="false" indent="0" shrinkToFit="false"/>
      <protection locked="true" hidden="false"/>
    </xf>
    <xf numFmtId="164" fontId="0" fillId="0" borderId="5" xfId="0" applyFont="false" applyBorder="true" applyAlignment="true" applyProtection="true">
      <alignment horizontal="general" vertical="center" textRotation="0" wrapText="false" indent="0" shrinkToFit="false"/>
      <protection locked="true" hidden="false"/>
    </xf>
    <xf numFmtId="165" fontId="0" fillId="0" borderId="1" xfId="0" applyFont="false" applyBorder="true" applyAlignment="true" applyProtection="true">
      <alignment horizontal="general" vertical="bottom" textRotation="0" wrapText="false" indent="0" shrinkToFit="false"/>
      <protection locked="true" hidden="false"/>
    </xf>
    <xf numFmtId="164" fontId="0" fillId="0" borderId="3" xfId="0" applyFont="false" applyBorder="true" applyAlignment="true" applyProtection="true">
      <alignment horizontal="general" vertical="bottom" textRotation="0" wrapText="false" indent="0" shrinkToFit="false"/>
      <protection locked="true" hidden="false"/>
    </xf>
    <xf numFmtId="164" fontId="6" fillId="0" borderId="1" xfId="0" applyFont="true" applyBorder="true" applyAlignment="true" applyProtection="true">
      <alignment horizontal="center" vertical="bottom" textRotation="0" wrapText="false" indent="0" shrinkToFit="false"/>
      <protection locked="true" hidden="false"/>
    </xf>
    <xf numFmtId="165" fontId="0" fillId="0" borderId="1" xfId="0" applyFont="true" applyBorder="true" applyAlignment="true" applyProtection="true">
      <alignment horizontal="general" vertical="bottom" textRotation="0" wrapText="fals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general" vertical="bottom" textRotation="0" wrapText="false" indent="0" shrinkToFit="false"/>
      <protection locked="true" hidden="false"/>
    </xf>
    <xf numFmtId="164" fontId="6" fillId="0" borderId="1" xfId="0" applyFont="true" applyBorder="true" applyAlignment="true" applyProtection="true">
      <alignment horizontal="center" vertical="bottom" textRotation="0" wrapText="true" indent="0" shrinkToFit="false"/>
      <protection locked="true" hidden="false"/>
    </xf>
    <xf numFmtId="169" fontId="0" fillId="0" borderId="1" xfId="0" applyFont="false" applyBorder="true" applyAlignment="true" applyProtection="true">
      <alignment horizontal="center" vertical="center" textRotation="0" wrapText="false" indent="0" shrinkToFit="false"/>
      <protection locked="true" hidden="false"/>
    </xf>
    <xf numFmtId="169" fontId="6" fillId="0" borderId="1" xfId="0" applyFont="true" applyBorder="true" applyAlignment="true" applyProtection="true">
      <alignment horizontal="center" vertical="center" textRotation="0" wrapText="false" indent="0" shrinkToFit="false"/>
      <protection locked="true" hidden="false"/>
    </xf>
    <xf numFmtId="169" fontId="0" fillId="0" borderId="1" xfId="0" applyFont="false" applyBorder="true" applyAlignment="true" applyProtection="true">
      <alignment horizontal="general" vertical="bottom" textRotation="0" wrapText="false" indent="0" shrinkToFit="false"/>
      <protection locked="true" hidden="false"/>
    </xf>
    <xf numFmtId="169" fontId="0" fillId="0" borderId="1" xfId="0" applyFont="true" applyBorder="true" applyAlignment="true" applyProtection="true">
      <alignment horizontal="center" vertical="center" textRotation="0" wrapText="false" indent="0" shrinkToFit="false"/>
      <protection locked="true" hidden="false"/>
    </xf>
    <xf numFmtId="169" fontId="0" fillId="0" borderId="1"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7" xfId="0" applyFont="true" applyBorder="tru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9" fillId="0" borderId="8" xfId="0" applyFont="true" applyBorder="true" applyAlignment="true" applyProtection="true">
      <alignment horizontal="center" vertical="bottom" textRotation="0" wrapText="true" indent="0" shrinkToFit="false"/>
      <protection locked="true" hidden="false"/>
    </xf>
    <xf numFmtId="165" fontId="0" fillId="0" borderId="9" xfId="0" applyFont="false" applyBorder="true" applyAlignment="true" applyProtection="true">
      <alignment horizontal="center" vertical="center" textRotation="0" wrapText="false" indent="0" shrinkToFit="false"/>
      <protection locked="true" hidden="false"/>
    </xf>
    <xf numFmtId="165" fontId="0" fillId="0" borderId="8" xfId="0" applyFont="false" applyBorder="true" applyAlignment="true" applyProtection="true">
      <alignment horizontal="center" vertical="center" textRotation="0" wrapText="false" indent="0" shrinkToFit="false"/>
      <protection locked="true" hidden="false"/>
    </xf>
    <xf numFmtId="164" fontId="6" fillId="0" borderId="7" xfId="0" applyFont="true" applyBorder="true" applyAlignment="true" applyProtection="true">
      <alignment horizontal="center" vertical="center" textRotation="0" wrapText="true" indent="0" shrinkToFit="false"/>
      <protection locked="true" hidden="false"/>
    </xf>
    <xf numFmtId="164" fontId="0" fillId="0" borderId="8" xfId="0" applyFont="false" applyBorder="true" applyAlignment="true" applyProtection="true">
      <alignment horizontal="center" vertical="center" textRotation="0" wrapText="false" indent="0" shrinkToFit="false"/>
      <protection locked="true" hidden="false"/>
    </xf>
    <xf numFmtId="164" fontId="6" fillId="0" borderId="1" xfId="0" applyFont="true" applyBorder="true" applyAlignment="true" applyProtection="true">
      <alignment horizontal="general" vertical="bottom" textRotation="0" wrapText="false" indent="0" shrinkToFit="false"/>
      <protection locked="true" hidden="false"/>
    </xf>
    <xf numFmtId="169" fontId="0" fillId="0" borderId="4" xfId="0" applyFont="false" applyBorder="true" applyAlignment="true" applyProtection="true">
      <alignment horizontal="center" vertical="bottom" textRotation="0" wrapText="false" indent="0" shrinkToFit="false"/>
      <protection locked="true" hidden="false"/>
    </xf>
    <xf numFmtId="169" fontId="6" fillId="0" borderId="1" xfId="0" applyFont="true" applyBorder="true" applyAlignment="true" applyProtection="true">
      <alignment horizontal="center" vertical="bottom" textRotation="0" wrapText="fals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11" fillId="0" borderId="4" xfId="0" applyFont="true" applyBorder="true" applyAlignment="true" applyProtection="true">
      <alignment horizontal="right" vertical="center" textRotation="0" wrapText="false" indent="0" shrinkToFit="false"/>
      <protection locked="true" hidden="false"/>
    </xf>
    <xf numFmtId="164" fontId="16" fillId="0" borderId="0" xfId="0" applyFont="true" applyBorder="false" applyAlignment="true" applyProtection="true">
      <alignment horizontal="general" vertical="bottom" textRotation="0" wrapText="fals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0" fillId="0" borderId="10" xfId="0" applyFont="false" applyBorder="true" applyAlignment="true" applyProtection="true">
      <alignment horizontal="general" vertical="bottom" textRotation="0" wrapText="false" indent="0" shrinkToFit="false"/>
      <protection locked="true" hidden="false"/>
    </xf>
    <xf numFmtId="164" fontId="0" fillId="0" borderId="11" xfId="0" applyFont="false" applyBorder="true" applyAlignment="true" applyProtection="true">
      <alignment horizontal="general" vertical="bottom" textRotation="0" wrapText="false" indent="0" shrinkToFit="false"/>
      <protection locked="true" hidden="false"/>
    </xf>
    <xf numFmtId="164" fontId="0" fillId="0" borderId="12" xfId="0" applyFont="false" applyBorder="true" applyAlignment="true" applyProtection="true">
      <alignment horizontal="general" vertical="bottom" textRotation="0" wrapText="false" indent="0" shrinkToFit="false"/>
      <protection locked="true" hidden="false"/>
    </xf>
    <xf numFmtId="164" fontId="7" fillId="0" borderId="2" xfId="0" applyFont="true" applyBorder="true" applyAlignment="true" applyProtection="true">
      <alignment horizontal="general" vertical="bottom" textRotation="0" wrapText="false" indent="0" shrinkToFit="false"/>
      <protection locked="true" hidden="false"/>
    </xf>
    <xf numFmtId="164" fontId="0" fillId="0" borderId="13" xfId="0" applyFont="false" applyBorder="true" applyAlignment="true" applyProtection="true">
      <alignment horizontal="general" vertical="bottom" textRotation="0" wrapText="false" indent="0" shrinkToFit="false"/>
      <protection locked="true" hidden="false"/>
    </xf>
    <xf numFmtId="164" fontId="0" fillId="0" borderId="14" xfId="0" applyFont="false" applyBorder="true" applyAlignment="true" applyProtection="true">
      <alignment horizontal="general" vertical="bottom" textRotation="0" wrapText="false" indent="0" shrinkToFit="false"/>
      <protection locked="true" hidden="false"/>
    </xf>
    <xf numFmtId="164" fontId="8" fillId="0" borderId="2" xfId="0" applyFont="true" applyBorder="true" applyAlignment="true" applyProtection="true">
      <alignment horizontal="general" vertical="bottom" textRotation="0" wrapText="false" indent="0" shrinkToFit="false"/>
      <protection locked="true" hidden="false"/>
    </xf>
    <xf numFmtId="164" fontId="6" fillId="0" borderId="2" xfId="0" applyFont="true" applyBorder="true" applyAlignment="true" applyProtection="true">
      <alignment horizontal="general" vertical="bottom" textRotation="0" wrapText="false" indent="0" shrinkToFit="false"/>
      <protection locked="true" hidden="false"/>
    </xf>
    <xf numFmtId="164" fontId="6" fillId="0" borderId="13" xfId="0" applyFont="true" applyBorder="true" applyAlignment="true" applyProtection="true">
      <alignment horizontal="general" vertical="bottom" textRotation="0" wrapText="false" indent="0" shrinkToFit="false"/>
      <protection locked="true" hidden="false"/>
    </xf>
    <xf numFmtId="167" fontId="0" fillId="0" borderId="0" xfId="0" applyFont="false" applyBorder="true" applyAlignment="true" applyProtection="true">
      <alignment horizontal="center" vertical="bottom" textRotation="0" wrapText="false" indent="0" shrinkToFit="false"/>
      <protection locked="true" hidden="false"/>
    </xf>
    <xf numFmtId="164" fontId="0" fillId="0" borderId="9" xfId="0" applyFont="false" applyBorder="true" applyAlignment="true" applyProtection="true">
      <alignment horizontal="general" vertical="bottom" textRotation="0" wrapText="false" indent="0" shrinkToFit="false"/>
      <protection locked="true" hidden="false"/>
    </xf>
    <xf numFmtId="164" fontId="0" fillId="0" borderId="15" xfId="0" applyFont="false" applyBorder="true" applyAlignment="true" applyProtection="true">
      <alignment horizontal="general" vertical="bottom" textRotation="0" wrapText="false" indent="0" shrinkToFit="false"/>
      <protection locked="true" hidden="false"/>
    </xf>
    <xf numFmtId="164" fontId="0" fillId="0" borderId="16" xfId="0" applyFont="false" applyBorder="true" applyAlignment="true" applyProtection="true">
      <alignment horizontal="general" vertical="bottom" textRotation="0" wrapText="false" indent="0" shrinkToFit="false"/>
      <protection locked="true" hidden="false"/>
    </xf>
    <xf numFmtId="164" fontId="0" fillId="3" borderId="9" xfId="0" applyFont="false" applyBorder="true" applyAlignment="true" applyProtection="true">
      <alignment horizontal="general" vertical="bottom" textRotation="0" wrapText="false" indent="0" shrinkToFit="false"/>
      <protection locked="true" hidden="false"/>
    </xf>
    <xf numFmtId="164" fontId="0" fillId="3" borderId="15" xfId="0" applyFont="fals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8" fillId="0" borderId="13" xfId="0" applyFont="true" applyBorder="true" applyAlignment="true" applyProtection="true">
      <alignment horizontal="general" vertical="bottom" textRotation="0" wrapText="false" indent="0" shrinkToFit="false"/>
      <protection locked="true" hidden="false"/>
    </xf>
    <xf numFmtId="164" fontId="6" fillId="4" borderId="11" xfId="0" applyFont="true" applyBorder="true" applyAlignment="true" applyProtection="true">
      <alignment horizontal="center" vertical="center" textRotation="0" wrapText="true" indent="0" shrinkToFit="false"/>
      <protection locked="true" hidden="false"/>
    </xf>
    <xf numFmtId="164" fontId="17" fillId="5" borderId="0" xfId="0" applyFont="true" applyBorder="false" applyAlignment="true" applyProtection="true">
      <alignment horizontal="general" vertical="bottom" textRotation="0" wrapText="false" indent="0" shrinkToFit="false"/>
      <protection locked="true" hidden="false"/>
    </xf>
    <xf numFmtId="164" fontId="0" fillId="5" borderId="0" xfId="0" applyFont="false" applyBorder="false" applyAlignment="true" applyProtection="true">
      <alignment horizontal="general" vertical="bottom" textRotation="0" wrapText="false" indent="0" shrinkToFit="false"/>
      <protection locked="true" hidden="false"/>
    </xf>
    <xf numFmtId="164" fontId="18" fillId="5" borderId="0" xfId="0" applyFont="true" applyBorder="false" applyAlignment="true" applyProtection="true">
      <alignment horizontal="general" vertical="bottom" textRotation="0" wrapText="false" indent="0" shrinkToFit="false"/>
      <protection locked="true" hidden="false"/>
    </xf>
    <xf numFmtId="164" fontId="19" fillId="5" borderId="15" xfId="0" applyFont="true" applyBorder="true" applyAlignment="true" applyProtection="true">
      <alignment horizontal="general" vertical="bottom" textRotation="0" wrapText="false" indent="0" shrinkToFit="false"/>
      <protection locked="true" hidden="false"/>
    </xf>
    <xf numFmtId="164" fontId="18" fillId="5" borderId="0" xfId="0" applyFont="true" applyBorder="false" applyAlignment="true" applyProtection="true">
      <alignment horizontal="general" vertical="bottom" textRotation="0" wrapText="true" indent="0" shrinkToFit="false"/>
      <protection locked="true" hidden="false"/>
    </xf>
    <xf numFmtId="164" fontId="19" fillId="5" borderId="0" xfId="0" applyFont="true" applyBorder="false" applyAlignment="true" applyProtection="true">
      <alignment horizontal="general" vertical="top" textRotation="0" wrapText="false" indent="0" shrinkToFit="false"/>
      <protection locked="true" hidden="false"/>
    </xf>
    <xf numFmtId="164" fontId="19" fillId="5" borderId="0" xfId="0" applyFont="true" applyBorder="false" applyAlignment="true" applyProtection="true">
      <alignment horizontal="general" vertical="top" textRotation="0" wrapText="true" indent="0" shrinkToFit="false"/>
      <protection locked="true" hidden="false"/>
    </xf>
    <xf numFmtId="164" fontId="19" fillId="5" borderId="0" xfId="0" applyFont="true" applyBorder="false" applyAlignment="true" applyProtection="true">
      <alignment horizontal="general" vertical="bottom" textRotation="0" wrapText="true" indent="0" shrinkToFit="false"/>
      <protection locked="true" hidden="false"/>
    </xf>
    <xf numFmtId="164" fontId="19" fillId="5" borderId="0" xfId="0" applyFont="true" applyBorder="false" applyAlignment="true" applyProtection="true">
      <alignment horizontal="general" vertical="bottom" textRotation="0" wrapText="false" indent="0" shrinkToFit="false"/>
      <protection locked="true" hidden="false"/>
    </xf>
    <xf numFmtId="164" fontId="18" fillId="6" borderId="0" xfId="0" applyFont="true" applyBorder="false" applyAlignment="true" applyProtection="true">
      <alignment horizontal="general" vertical="bottom" textRotation="0" wrapText="true" indent="0" shrinkToFit="false"/>
      <protection locked="true" hidden="false"/>
    </xf>
    <xf numFmtId="164" fontId="18" fillId="5" borderId="0" xfId="0" applyFont="true" applyBorder="false" applyAlignment="true" applyProtection="true">
      <alignment horizontal="general" vertical="top" textRotation="0" wrapText="false" indent="0" shrinkToFit="false"/>
      <protection locked="true" hidden="false"/>
    </xf>
    <xf numFmtId="164" fontId="20" fillId="5" borderId="0" xfId="0" applyFont="true" applyBorder="false" applyAlignment="true" applyProtection="true">
      <alignment horizontal="general" vertical="center" textRotation="0" wrapText="false" indent="0" shrinkToFit="false"/>
      <protection locked="true" hidden="false"/>
    </xf>
    <xf numFmtId="164" fontId="20" fillId="5" borderId="0" xfId="0" applyFont="true" applyBorder="false" applyAlignment="true" applyProtection="true">
      <alignment horizontal="general" vertical="bottom" textRotation="0" wrapText="true" indent="0" shrinkToFit="false"/>
      <protection locked="true" hidden="false"/>
    </xf>
    <xf numFmtId="164" fontId="17" fillId="5" borderId="0" xfId="0" applyFont="true" applyBorder="false" applyAlignment="true" applyProtection="true">
      <alignment horizontal="left" vertical="bottom" textRotation="0" wrapText="false" indent="0" shrinkToFit="false"/>
      <protection locked="true" hidden="false"/>
    </xf>
    <xf numFmtId="169" fontId="17" fillId="5" borderId="0" xfId="0" applyFont="true" applyBorder="true" applyAlignment="true" applyProtection="true">
      <alignment horizontal="general" vertical="bottom" textRotation="0" wrapText="false" indent="0" shrinkToFit="false"/>
      <protection locked="true" hidden="false"/>
    </xf>
    <xf numFmtId="169" fontId="17" fillId="5" borderId="0" xfId="0" applyFont="true" applyBorder="false" applyAlignment="true" applyProtection="true">
      <alignment horizontal="general" vertical="bottom" textRotation="0" wrapText="false" indent="0" shrinkToFit="false"/>
      <protection locked="true" hidden="false"/>
    </xf>
    <xf numFmtId="164" fontId="21" fillId="5" borderId="0" xfId="0" applyFont="true" applyBorder="false" applyAlignment="true" applyProtection="true">
      <alignment horizontal="general" vertical="bottom" textRotation="0" wrapText="false" indent="0" shrinkToFit="false"/>
      <protection locked="true" hidden="false"/>
    </xf>
    <xf numFmtId="164" fontId="17" fillId="5" borderId="17" xfId="0" applyFont="true" applyBorder="true" applyAlignment="true" applyProtection="true">
      <alignment horizontal="center" vertical="center" textRotation="0" wrapText="false" indent="0" shrinkToFit="false"/>
      <protection locked="true" hidden="false"/>
    </xf>
    <xf numFmtId="164" fontId="17" fillId="5" borderId="0" xfId="0" applyFont="true" applyBorder="true" applyAlignment="true" applyProtection="true">
      <alignment horizontal="left" vertical="bottom" textRotation="0" wrapText="false" indent="0" shrinkToFit="false"/>
      <protection locked="true" hidden="false"/>
    </xf>
    <xf numFmtId="164" fontId="22" fillId="5" borderId="18" xfId="0" applyFont="true" applyBorder="true" applyAlignment="true" applyProtection="true">
      <alignment horizontal="center" vertical="bottom" textRotation="0" wrapText="false" indent="0" shrinkToFit="false"/>
      <protection locked="true" hidden="false"/>
    </xf>
    <xf numFmtId="164" fontId="22" fillId="5" borderId="0" xfId="0" applyFont="true" applyBorder="true" applyAlignment="true" applyProtection="true">
      <alignment horizontal="center" vertical="bottom" textRotation="0" wrapText="false" indent="0" shrinkToFit="false"/>
      <protection locked="true" hidden="false"/>
    </xf>
    <xf numFmtId="164" fontId="23" fillId="5" borderId="6" xfId="0" applyFont="true" applyBorder="true" applyAlignment="true" applyProtection="true">
      <alignment horizontal="center" vertical="center" textRotation="0" wrapText="false" indent="0" shrinkToFit="false"/>
      <protection locked="true" hidden="false"/>
    </xf>
    <xf numFmtId="164" fontId="24" fillId="5" borderId="0" xfId="0" applyFont="true" applyBorder="true" applyAlignment="true" applyProtection="true">
      <alignment horizontal="center" vertical="bottom" textRotation="0" wrapText="false" indent="0" shrinkToFit="false"/>
      <protection locked="true" hidden="false"/>
    </xf>
    <xf numFmtId="164" fontId="25" fillId="5" borderId="0" xfId="0" applyFont="true" applyBorder="false" applyAlignment="true" applyProtection="true">
      <alignment horizontal="general" vertical="bottom" textRotation="0" wrapText="false" indent="0" shrinkToFit="false"/>
      <protection locked="true" hidden="false"/>
    </xf>
    <xf numFmtId="164" fontId="7" fillId="5"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26" fillId="5" borderId="0" xfId="0" applyFont="true" applyBorder="true" applyAlignment="true" applyProtection="true">
      <alignment horizontal="left" vertical="bottom" textRotation="0" wrapText="false" indent="0" shrinkToFit="false"/>
      <protection locked="true" hidden="false"/>
    </xf>
    <xf numFmtId="164" fontId="26" fillId="5" borderId="0" xfId="0" applyFont="true" applyBorder="true" applyAlignment="true" applyProtection="true">
      <alignment horizontal="center" vertical="bottom" textRotation="0" wrapText="false" indent="0" shrinkToFit="false"/>
      <protection locked="true" hidden="false"/>
    </xf>
    <xf numFmtId="164" fontId="22" fillId="5" borderId="0" xfId="0" applyFont="true" applyBorder="true" applyAlignment="true" applyProtection="true">
      <alignment horizontal="left" vertical="bottom" textRotation="0" wrapText="false" indent="0" shrinkToFit="false"/>
      <protection locked="true" hidden="false"/>
    </xf>
    <xf numFmtId="164" fontId="22" fillId="5" borderId="3" xfId="0" applyFont="true" applyBorder="true" applyAlignment="true" applyProtection="true">
      <alignment horizontal="left" vertical="bottom" textRotation="0" wrapText="false" indent="0" shrinkToFit="false"/>
      <protection locked="true" hidden="true"/>
    </xf>
    <xf numFmtId="164" fontId="22" fillId="5" borderId="4" xfId="0" applyFont="true" applyBorder="true" applyAlignment="true" applyProtection="true">
      <alignment horizontal="left" vertical="bottom" textRotation="0" wrapText="false" indent="0" shrinkToFit="false"/>
      <protection locked="true" hidden="true"/>
    </xf>
    <xf numFmtId="164" fontId="7" fillId="0" borderId="0" xfId="0" applyFont="true" applyBorder="false" applyAlignment="true" applyProtection="true">
      <alignment horizontal="general" vertical="bottom" textRotation="0" wrapText="false" indent="0" shrinkToFit="false"/>
      <protection locked="true" hidden="true"/>
    </xf>
    <xf numFmtId="164" fontId="23" fillId="5" borderId="0" xfId="0" applyFont="true" applyBorder="true" applyAlignment="true" applyProtection="true">
      <alignment horizontal="center" vertical="bottom" textRotation="0" wrapText="false" indent="0" shrinkToFit="false"/>
      <protection locked="true" hidden="true"/>
    </xf>
    <xf numFmtId="164" fontId="23" fillId="5" borderId="1" xfId="0" applyFont="true" applyBorder="true" applyAlignment="true" applyProtection="true">
      <alignment horizontal="center" vertical="bottom" textRotation="0" wrapText="false" indent="0" shrinkToFit="false"/>
      <protection locked="true" hidden="true"/>
    </xf>
    <xf numFmtId="164" fontId="23" fillId="5" borderId="0" xfId="0" applyFont="true" applyBorder="true" applyAlignment="true" applyProtection="true">
      <alignment horizontal="left" vertical="bottom" textRotation="0" wrapText="false" indent="0" shrinkToFit="false"/>
      <protection locked="true" hidden="false"/>
    </xf>
    <xf numFmtId="164" fontId="23" fillId="5" borderId="0" xfId="0" applyFont="true" applyBorder="true" applyAlignment="true" applyProtection="true">
      <alignment horizontal="general" vertical="bottom" textRotation="0" wrapText="false" indent="0" shrinkToFit="false"/>
      <protection locked="true" hidden="false"/>
    </xf>
    <xf numFmtId="169" fontId="23" fillId="5" borderId="0" xfId="0" applyFont="true" applyBorder="true" applyAlignment="true" applyProtection="true">
      <alignment horizontal="general" vertical="bottom" textRotation="0" wrapText="false" indent="0" shrinkToFit="false"/>
      <protection locked="true" hidden="false"/>
    </xf>
    <xf numFmtId="164" fontId="27" fillId="5" borderId="7" xfId="0" applyFont="true" applyBorder="true" applyAlignment="true" applyProtection="true">
      <alignment horizontal="left" vertical="center" textRotation="0" wrapText="false" indent="0" shrinkToFit="false"/>
      <protection locked="true" hidden="false"/>
    </xf>
    <xf numFmtId="169" fontId="28" fillId="5" borderId="10" xfId="0" applyFont="true" applyBorder="true" applyAlignment="true" applyProtection="true">
      <alignment horizontal="center" vertical="bottom" textRotation="0" wrapText="true" indent="0" shrinkToFit="false"/>
      <protection locked="true" hidden="false"/>
    </xf>
    <xf numFmtId="164" fontId="27" fillId="5" borderId="11" xfId="0" applyFont="true" applyBorder="true" applyAlignment="true" applyProtection="true">
      <alignment horizontal="center" vertical="bottom" textRotation="0" wrapText="false" indent="0" shrinkToFit="false"/>
      <protection locked="true" hidden="false"/>
    </xf>
    <xf numFmtId="169" fontId="29" fillId="5" borderId="11" xfId="0" applyFont="true" applyBorder="true" applyAlignment="true" applyProtection="true">
      <alignment horizontal="center" vertical="bottom" textRotation="0" wrapText="true" indent="0" shrinkToFit="false"/>
      <protection locked="true" hidden="false"/>
    </xf>
    <xf numFmtId="169" fontId="29" fillId="5" borderId="12" xfId="0" applyFont="true" applyBorder="true" applyAlignment="true" applyProtection="true">
      <alignment horizontal="center" vertical="bottom" textRotation="0" wrapText="true" indent="0" shrinkToFit="false"/>
      <protection locked="true" hidden="false"/>
    </xf>
    <xf numFmtId="164" fontId="30" fillId="0" borderId="0" xfId="0" applyFont="true" applyBorder="false" applyAlignment="true" applyProtection="true">
      <alignment horizontal="center" vertical="bottom" textRotation="0" wrapText="false" indent="0" shrinkToFit="false"/>
      <protection locked="true" hidden="false"/>
    </xf>
    <xf numFmtId="164" fontId="31" fillId="5" borderId="0" xfId="0" applyFont="true" applyBorder="false" applyAlignment="true" applyProtection="true">
      <alignment horizontal="center" vertical="bottom" textRotation="0" wrapText="false" indent="0" shrinkToFit="false"/>
      <protection locked="true" hidden="false"/>
    </xf>
    <xf numFmtId="164" fontId="30" fillId="5" borderId="0" xfId="0" applyFont="true" applyBorder="false" applyAlignment="true" applyProtection="true">
      <alignment horizontal="center" vertical="bottom" textRotation="0" wrapText="false" indent="0" shrinkToFit="false"/>
      <protection locked="true" hidden="false"/>
    </xf>
    <xf numFmtId="164" fontId="32" fillId="5" borderId="9" xfId="0" applyFont="true" applyBorder="true" applyAlignment="true" applyProtection="true">
      <alignment horizontal="left" vertical="center" textRotation="0" wrapText="false" indent="0" shrinkToFit="false"/>
      <protection locked="true" hidden="false"/>
    </xf>
    <xf numFmtId="164" fontId="32" fillId="5" borderId="16" xfId="0" applyFont="true" applyBorder="true" applyAlignment="true" applyProtection="true">
      <alignment horizontal="center" vertical="center" textRotation="0" wrapText="false" indent="0" shrinkToFit="false"/>
      <protection locked="true" hidden="false"/>
    </xf>
    <xf numFmtId="169" fontId="33" fillId="5" borderId="9" xfId="0" applyFont="true" applyBorder="true" applyAlignment="true" applyProtection="true">
      <alignment horizontal="center" vertical="bottom" textRotation="0" wrapText="false" indent="0" shrinkToFit="false"/>
      <protection locked="true" hidden="false"/>
    </xf>
    <xf numFmtId="164" fontId="34" fillId="5" borderId="15" xfId="0" applyFont="true" applyBorder="true" applyAlignment="true" applyProtection="true">
      <alignment horizontal="general" vertical="bottom" textRotation="0" wrapText="false" indent="0" shrinkToFit="false"/>
      <protection locked="true" hidden="false"/>
    </xf>
    <xf numFmtId="169" fontId="33" fillId="5" borderId="15" xfId="0" applyFont="true" applyBorder="true" applyAlignment="true" applyProtection="true">
      <alignment horizontal="center" vertical="bottom" textRotation="0" wrapText="false" indent="0" shrinkToFit="false"/>
      <protection locked="true" hidden="false"/>
    </xf>
    <xf numFmtId="169" fontId="33" fillId="5" borderId="16"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false" applyAlignment="true" applyProtection="true">
      <alignment horizontal="general" vertical="bottom" textRotation="0" wrapText="false" indent="0" shrinkToFit="false"/>
      <protection locked="true" hidden="false"/>
    </xf>
    <xf numFmtId="164" fontId="36" fillId="5" borderId="0" xfId="0" applyFont="true" applyBorder="false" applyAlignment="true" applyProtection="true">
      <alignment horizontal="general" vertical="bottom" textRotation="0" wrapText="false" indent="0" shrinkToFit="false"/>
      <protection locked="true" hidden="false"/>
    </xf>
    <xf numFmtId="164" fontId="35" fillId="5" borderId="0" xfId="0" applyFont="true" applyBorder="false" applyAlignment="true" applyProtection="true">
      <alignment horizontal="general" vertical="bottom" textRotation="0" wrapText="false" indent="0" shrinkToFit="false"/>
      <protection locked="true" hidden="false"/>
    </xf>
    <xf numFmtId="164" fontId="37" fillId="5" borderId="13" xfId="0" applyFont="true" applyBorder="true" applyAlignment="true" applyProtection="true">
      <alignment horizontal="left" vertical="bottom" textRotation="0" wrapText="false" indent="0" shrinkToFit="false"/>
      <protection locked="true" hidden="false"/>
    </xf>
    <xf numFmtId="164" fontId="17" fillId="5" borderId="0" xfId="0" applyFont="true" applyBorder="true" applyAlignment="true" applyProtection="true">
      <alignment horizontal="general" vertical="bottom" textRotation="0" wrapText="false" indent="0" shrinkToFit="false"/>
      <protection locked="true" hidden="false"/>
    </xf>
    <xf numFmtId="169" fontId="28" fillId="5" borderId="0" xfId="0" applyFont="true" applyBorder="true" applyAlignment="true" applyProtection="true">
      <alignment horizontal="center" vertical="bottom" textRotation="0" wrapText="false" indent="0" shrinkToFit="false"/>
      <protection locked="true" hidden="false"/>
    </xf>
    <xf numFmtId="164" fontId="37" fillId="5" borderId="13" xfId="0" applyFont="true" applyBorder="true" applyAlignment="true" applyProtection="true">
      <alignment horizontal="center" vertical="center" textRotation="0" wrapText="false" indent="0" shrinkToFit="false"/>
      <protection locked="true" hidden="false"/>
    </xf>
    <xf numFmtId="164" fontId="37" fillId="5" borderId="0" xfId="0" applyFont="true" applyBorder="true" applyAlignment="true" applyProtection="true">
      <alignment horizontal="left" vertical="center" textRotation="0" wrapText="true" indent="0" shrinkToFit="false"/>
      <protection locked="true" hidden="false"/>
    </xf>
    <xf numFmtId="169" fontId="17" fillId="6" borderId="1" xfId="0" applyFont="true" applyBorder="true" applyAlignment="true" applyProtection="true">
      <alignment horizontal="center" vertical="center" textRotation="0" wrapText="false" indent="0" shrinkToFit="false"/>
      <protection locked="false" hidden="false"/>
    </xf>
    <xf numFmtId="164" fontId="28" fillId="5" borderId="19" xfId="0" applyFont="true" applyBorder="true" applyAlignment="true" applyProtection="true">
      <alignment horizontal="right" vertical="bottom" textRotation="0" wrapText="false" indent="0" shrinkToFit="false"/>
      <protection locked="true" hidden="false"/>
    </xf>
    <xf numFmtId="170" fontId="17" fillId="5" borderId="20" xfId="0" applyFont="true" applyBorder="true" applyAlignment="true" applyProtection="true">
      <alignment horizontal="right" vertical="bottom" textRotation="0" wrapText="false" indent="0" shrinkToFit="false"/>
      <protection locked="true" hidden="false"/>
    </xf>
    <xf numFmtId="169" fontId="17" fillId="5" borderId="6" xfId="0" applyFont="true" applyBorder="true" applyAlignment="true" applyProtection="true">
      <alignment horizontal="general" vertical="bottom" textRotation="0" wrapText="false" indent="0" shrinkToFit="false"/>
      <protection locked="true" hidden="true"/>
    </xf>
    <xf numFmtId="164" fontId="28" fillId="5" borderId="0" xfId="0" applyFont="true" applyBorder="true" applyAlignment="true" applyProtection="true">
      <alignment horizontal="right" vertical="bottom" textRotation="0" wrapText="false" indent="0" shrinkToFit="false"/>
      <protection locked="true" hidden="false"/>
    </xf>
    <xf numFmtId="170" fontId="17" fillId="5" borderId="21" xfId="0" applyFont="true" applyBorder="true" applyAlignment="true" applyProtection="true">
      <alignment horizontal="right" vertical="bottom" textRotation="0" wrapText="false" indent="0" shrinkToFit="false"/>
      <protection locked="true" hidden="false"/>
    </xf>
    <xf numFmtId="164" fontId="17" fillId="5" borderId="13" xfId="0" applyFont="true" applyBorder="true" applyAlignment="true" applyProtection="true">
      <alignment horizontal="left" vertical="bottom" textRotation="0" wrapText="false" indent="0" shrinkToFit="false"/>
      <protection locked="true" hidden="false"/>
    </xf>
    <xf numFmtId="169" fontId="38" fillId="5" borderId="0" xfId="0" applyFont="true" applyBorder="true" applyAlignment="true" applyProtection="true">
      <alignment horizontal="center" vertical="bottom" textRotation="0" wrapText="false" indent="0" shrinkToFit="false"/>
      <protection locked="true" hidden="false"/>
    </xf>
    <xf numFmtId="171" fontId="17" fillId="5" borderId="0" xfId="0" applyFont="true" applyBorder="true" applyAlignment="true" applyProtection="true">
      <alignment horizontal="general" vertical="bottom" textRotation="0" wrapText="false" indent="0" shrinkToFit="false"/>
      <protection locked="true" hidden="false"/>
    </xf>
    <xf numFmtId="171" fontId="17" fillId="5" borderId="0" xfId="0" applyFont="true" applyBorder="true" applyAlignment="true" applyProtection="true">
      <alignment horizontal="general" vertical="bottom" textRotation="0" wrapText="false" indent="0" shrinkToFit="false"/>
      <protection locked="true" hidden="true"/>
    </xf>
    <xf numFmtId="164" fontId="17" fillId="5" borderId="0" xfId="0" applyFont="true" applyBorder="true" applyAlignment="true" applyProtection="true">
      <alignment horizontal="right" vertical="bottom" textRotation="0" wrapText="false" indent="0" shrinkToFit="false"/>
      <protection locked="true" hidden="false"/>
    </xf>
    <xf numFmtId="169" fontId="38" fillId="5" borderId="0" xfId="0" applyFont="true" applyBorder="true" applyAlignment="true" applyProtection="true">
      <alignment horizontal="general" vertical="bottom" textRotation="0" wrapText="false" indent="0" shrinkToFit="false"/>
      <protection locked="true" hidden="false"/>
    </xf>
    <xf numFmtId="171" fontId="28" fillId="5" borderId="0" xfId="0" applyFont="true" applyBorder="true" applyAlignment="true" applyProtection="true">
      <alignment horizontal="right" vertical="bottom" textRotation="0" wrapText="false" indent="0" shrinkToFit="false"/>
      <protection locked="true" hidden="false"/>
    </xf>
    <xf numFmtId="169" fontId="17" fillId="5" borderId="0" xfId="0" applyFont="true" applyBorder="true" applyAlignment="true" applyProtection="true">
      <alignment horizontal="general" vertical="bottom" textRotation="0" wrapText="false" indent="0" shrinkToFit="false"/>
      <protection locked="true" hidden="true"/>
    </xf>
    <xf numFmtId="170" fontId="17" fillId="5" borderId="22" xfId="0" applyFont="true" applyBorder="true" applyAlignment="true" applyProtection="true">
      <alignment horizontal="right" vertical="bottom" textRotation="0" wrapText="false" indent="0" shrinkToFit="false"/>
      <protection locked="true" hidden="false"/>
    </xf>
    <xf numFmtId="169" fontId="38" fillId="5" borderId="0" xfId="0" applyFont="true" applyBorder="true" applyAlignment="true" applyProtection="true">
      <alignment horizontal="general" vertical="bottom" textRotation="0" wrapText="false" indent="0" shrinkToFit="false"/>
      <protection locked="true" hidden="true"/>
    </xf>
    <xf numFmtId="164" fontId="37" fillId="5" borderId="23" xfId="0" applyFont="true" applyBorder="true" applyAlignment="true" applyProtection="true">
      <alignment horizontal="left" vertical="center" textRotation="0" wrapText="true" indent="0" shrinkToFit="false"/>
      <protection locked="true" hidden="false"/>
    </xf>
    <xf numFmtId="169" fontId="17" fillId="6" borderId="24" xfId="0" applyFont="true" applyBorder="true" applyAlignment="true" applyProtection="true">
      <alignment horizontal="center" vertical="center" textRotation="0" wrapText="false" indent="0" shrinkToFit="false"/>
      <protection locked="false" hidden="false"/>
    </xf>
    <xf numFmtId="164" fontId="28" fillId="5" borderId="25" xfId="0" applyFont="true" applyBorder="true" applyAlignment="true" applyProtection="true">
      <alignment horizontal="right" vertical="bottom" textRotation="0" wrapText="false" indent="0" shrinkToFit="false"/>
      <protection locked="true" hidden="false"/>
    </xf>
    <xf numFmtId="170" fontId="17" fillId="5" borderId="26" xfId="0" applyFont="true" applyBorder="true" applyAlignment="true" applyProtection="true">
      <alignment horizontal="right" vertical="bottom" textRotation="0" wrapText="false" indent="0" shrinkToFit="false"/>
      <protection locked="true" hidden="false"/>
    </xf>
    <xf numFmtId="169" fontId="17" fillId="5" borderId="27" xfId="0" applyFont="true" applyBorder="true" applyAlignment="true" applyProtection="true">
      <alignment horizontal="general" vertical="bottom" textRotation="0" wrapText="false" indent="0" shrinkToFit="false"/>
      <protection locked="true" hidden="true"/>
    </xf>
    <xf numFmtId="164" fontId="17" fillId="5" borderId="13" xfId="0" applyFont="true" applyBorder="true" applyAlignment="true" applyProtection="true">
      <alignment horizontal="center" vertical="bottom" textRotation="0" wrapText="false" indent="0" shrinkToFit="false"/>
      <protection locked="true" hidden="false"/>
    </xf>
    <xf numFmtId="169" fontId="17" fillId="5" borderId="28" xfId="0" applyFont="true" applyBorder="true" applyAlignment="true" applyProtection="true">
      <alignment horizontal="general" vertical="bottom" textRotation="0" wrapText="false" indent="0" shrinkToFit="false"/>
      <protection locked="true" hidden="true"/>
    </xf>
    <xf numFmtId="164" fontId="29" fillId="5" borderId="29" xfId="0" applyFont="true" applyBorder="true" applyAlignment="true" applyProtection="true">
      <alignment horizontal="left" vertical="center" textRotation="0" wrapText="false" indent="0" shrinkToFit="false"/>
      <protection locked="true" hidden="false"/>
    </xf>
    <xf numFmtId="171" fontId="17" fillId="5" borderId="30" xfId="0" applyFont="true" applyBorder="true" applyAlignment="true" applyProtection="true">
      <alignment horizontal="general" vertical="bottom" textRotation="0" wrapText="false" indent="0" shrinkToFit="false"/>
      <protection locked="true" hidden="true"/>
    </xf>
    <xf numFmtId="164" fontId="17" fillId="5" borderId="29" xfId="0" applyFont="true" applyBorder="true" applyAlignment="true" applyProtection="true">
      <alignment horizontal="general" vertical="bottom" textRotation="0" wrapText="false" indent="0" shrinkToFit="false"/>
      <protection locked="true" hidden="false"/>
    </xf>
    <xf numFmtId="169" fontId="17" fillId="5" borderId="30" xfId="0" applyFont="true" applyBorder="true" applyAlignment="true" applyProtection="true">
      <alignment horizontal="general" vertical="bottom" textRotation="0" wrapText="false" indent="0" shrinkToFit="false"/>
      <protection locked="true" hidden="false"/>
    </xf>
    <xf numFmtId="164" fontId="37" fillId="5" borderId="29" xfId="0" applyFont="true" applyBorder="true" applyAlignment="true" applyProtection="true">
      <alignment horizontal="left" vertical="center" textRotation="0" wrapText="true" indent="0" shrinkToFit="false"/>
      <protection locked="true" hidden="false"/>
    </xf>
    <xf numFmtId="164" fontId="17" fillId="5" borderId="31" xfId="0" applyFont="true" applyBorder="true" applyAlignment="true" applyProtection="true">
      <alignment horizontal="general" vertical="bottom" textRotation="0" wrapText="false" indent="0" shrinkToFit="false"/>
      <protection locked="true" hidden="false"/>
    </xf>
    <xf numFmtId="169" fontId="38" fillId="5" borderId="32" xfId="0" applyFont="true" applyBorder="true" applyAlignment="true" applyProtection="true">
      <alignment horizontal="general" vertical="bottom" textRotation="0" wrapText="false" indent="0" shrinkToFit="false"/>
      <protection locked="true" hidden="false"/>
    </xf>
    <xf numFmtId="164" fontId="28" fillId="5" borderId="32" xfId="0" applyFont="true" applyBorder="true" applyAlignment="true" applyProtection="true">
      <alignment horizontal="right" vertical="bottom" textRotation="0" wrapText="false" indent="0" shrinkToFit="false"/>
      <protection locked="true" hidden="false"/>
    </xf>
    <xf numFmtId="169" fontId="17" fillId="5" borderId="33" xfId="0" applyFont="true" applyBorder="true" applyAlignment="true" applyProtection="true">
      <alignment horizontal="general" vertical="bottom" textRotation="0" wrapText="false" indent="0" shrinkToFit="false"/>
      <protection locked="true" hidden="true"/>
    </xf>
    <xf numFmtId="164" fontId="29" fillId="5" borderId="0" xfId="0" applyFont="true" applyBorder="true" applyAlignment="true" applyProtection="true">
      <alignment horizontal="left" vertical="center" textRotation="0" wrapText="false" indent="0" shrinkToFit="false"/>
      <protection locked="true" hidden="false"/>
    </xf>
    <xf numFmtId="169" fontId="17" fillId="5" borderId="32" xfId="0" applyFont="true" applyBorder="true" applyAlignment="true" applyProtection="true">
      <alignment horizontal="general" vertical="bottom" textRotation="0" wrapText="false" indent="0" shrinkToFit="false"/>
      <protection locked="true" hidden="true"/>
    </xf>
    <xf numFmtId="164" fontId="37" fillId="5" borderId="23" xfId="0" applyFont="true" applyBorder="true" applyAlignment="true" applyProtection="true">
      <alignment horizontal="general" vertical="bottom" textRotation="0" wrapText="false" indent="0" shrinkToFit="false"/>
      <protection locked="true" hidden="false"/>
    </xf>
    <xf numFmtId="169" fontId="38" fillId="5" borderId="34" xfId="0" applyFont="true" applyBorder="true" applyAlignment="true" applyProtection="true">
      <alignment horizontal="center" vertical="bottom" textRotation="0" wrapText="false" indent="0" shrinkToFit="false"/>
      <protection locked="true" hidden="false"/>
    </xf>
    <xf numFmtId="164" fontId="17" fillId="5" borderId="34" xfId="0" applyFont="true" applyBorder="true" applyAlignment="true" applyProtection="true">
      <alignment horizontal="general" vertical="bottom" textRotation="0" wrapText="false" indent="0" shrinkToFit="false"/>
      <protection locked="true" hidden="false"/>
    </xf>
    <xf numFmtId="169" fontId="17" fillId="5" borderId="34" xfId="0" applyFont="true" applyBorder="true" applyAlignment="true" applyProtection="true">
      <alignment horizontal="general" vertical="bottom" textRotation="0" wrapText="false" indent="0" shrinkToFit="false"/>
      <protection locked="true" hidden="false"/>
    </xf>
    <xf numFmtId="169" fontId="17" fillId="5" borderId="35" xfId="0" applyFont="true" applyBorder="true" applyAlignment="true" applyProtection="true">
      <alignment horizontal="general" vertical="bottom" textRotation="0" wrapText="false" indent="0" shrinkToFit="false"/>
      <protection locked="true" hidden="true"/>
    </xf>
    <xf numFmtId="164" fontId="17" fillId="5" borderId="29" xfId="0" applyFont="true" applyBorder="true" applyAlignment="true" applyProtection="true">
      <alignment horizontal="right" vertical="center" textRotation="0" wrapText="true" indent="0" shrinkToFit="false"/>
      <protection locked="true" hidden="false"/>
    </xf>
    <xf numFmtId="170" fontId="17" fillId="5" borderId="19" xfId="0" applyFont="true" applyBorder="true" applyAlignment="true" applyProtection="true">
      <alignment horizontal="general" vertical="bottom" textRotation="0" wrapText="false" indent="0" shrinkToFit="false"/>
      <protection locked="true" hidden="false"/>
    </xf>
    <xf numFmtId="170" fontId="17" fillId="5" borderId="0" xfId="0" applyFont="true" applyBorder="false" applyAlignment="true" applyProtection="true">
      <alignment horizontal="general" vertical="bottom" textRotation="0" wrapText="false" indent="0" shrinkToFit="false"/>
      <protection locked="true" hidden="false"/>
    </xf>
    <xf numFmtId="164" fontId="37" fillId="5" borderId="13" xfId="0" applyFont="true" applyBorder="true" applyAlignment="true" applyProtection="true">
      <alignment horizontal="center" vertical="bottom" textRotation="0" wrapText="false" indent="0" shrinkToFit="false"/>
      <protection locked="true" hidden="false"/>
    </xf>
    <xf numFmtId="170" fontId="17" fillId="5" borderId="22" xfId="0" applyFont="true" applyBorder="true" applyAlignment="true" applyProtection="true">
      <alignment horizontal="general" vertical="bottom" textRotation="0" wrapText="false" indent="0" shrinkToFit="false"/>
      <protection locked="true" hidden="false"/>
    </xf>
    <xf numFmtId="171" fontId="38" fillId="5" borderId="32" xfId="0" applyFont="true" applyBorder="true" applyAlignment="true" applyProtection="true">
      <alignment horizontal="general" vertical="bottom" textRotation="0" wrapText="false" indent="0" shrinkToFit="false"/>
      <protection locked="true" hidden="false"/>
    </xf>
    <xf numFmtId="171" fontId="28" fillId="5" borderId="32" xfId="0" applyFont="true" applyBorder="true" applyAlignment="true" applyProtection="true">
      <alignment horizontal="right" vertical="bottom" textRotation="0" wrapText="false" indent="0" shrinkToFit="false"/>
      <protection locked="true" hidden="false"/>
    </xf>
    <xf numFmtId="171" fontId="38" fillId="5" borderId="0" xfId="0" applyFont="true" applyBorder="true" applyAlignment="true" applyProtection="true">
      <alignment horizontal="general" vertical="bottom" textRotation="0" wrapText="false" indent="0" shrinkToFit="false"/>
      <protection locked="true" hidden="false"/>
    </xf>
    <xf numFmtId="171" fontId="37" fillId="5" borderId="15" xfId="0" applyFont="true" applyBorder="true" applyAlignment="true" applyProtection="true">
      <alignment horizontal="center" vertical="center" textRotation="0" wrapText="false" indent="0" shrinkToFit="false"/>
      <protection locked="true" hidden="false"/>
    </xf>
    <xf numFmtId="171" fontId="28" fillId="5" borderId="15" xfId="0" applyFont="true" applyBorder="true" applyAlignment="true" applyProtection="true">
      <alignment horizontal="right" vertical="bottom" textRotation="0" wrapText="false" indent="0" shrinkToFit="false"/>
      <protection locked="true" hidden="false"/>
    </xf>
    <xf numFmtId="169" fontId="17" fillId="5" borderId="36" xfId="0" applyFont="true" applyBorder="true" applyAlignment="true" applyProtection="true">
      <alignment horizontal="general" vertical="bottom" textRotation="0" wrapText="false" indent="0" shrinkToFit="false"/>
      <protection locked="true" hidden="true"/>
    </xf>
    <xf numFmtId="164" fontId="37" fillId="5" borderId="9" xfId="0" applyFont="true" applyBorder="true" applyAlignment="true" applyProtection="true">
      <alignment horizontal="left" vertical="bottom" textRotation="0" wrapText="false" indent="0" shrinkToFit="false"/>
      <protection locked="true" hidden="false"/>
    </xf>
    <xf numFmtId="164" fontId="17" fillId="5" borderId="15" xfId="0" applyFont="true" applyBorder="true" applyAlignment="true" applyProtection="true">
      <alignment horizontal="general" vertical="bottom" textRotation="0" wrapText="false" indent="0" shrinkToFit="false"/>
      <protection locked="true" hidden="false"/>
    </xf>
    <xf numFmtId="164" fontId="28" fillId="5" borderId="15" xfId="0" applyFont="true" applyBorder="true" applyAlignment="true" applyProtection="true">
      <alignment horizontal="right" vertical="bottom" textRotation="0" wrapText="false" indent="0" shrinkToFit="false"/>
      <protection locked="true" hidden="false"/>
    </xf>
    <xf numFmtId="169" fontId="17" fillId="5" borderId="37" xfId="0" applyFont="true" applyBorder="true" applyAlignment="true" applyProtection="true">
      <alignment horizontal="general" vertical="bottom" textRotation="0" wrapText="false" indent="0" shrinkToFit="false"/>
      <protection locked="true" hidden="true"/>
    </xf>
    <xf numFmtId="164" fontId="21" fillId="5" borderId="0" xfId="0" applyFont="true" applyBorder="false" applyAlignment="true" applyProtection="true">
      <alignment horizontal="center" vertical="bottom" textRotation="0" wrapText="false" indent="0" shrinkToFit="false"/>
      <protection locked="true" hidden="false"/>
    </xf>
    <xf numFmtId="169" fontId="21" fillId="5" borderId="0" xfId="0" applyFont="true" applyBorder="true" applyAlignment="true" applyProtection="true">
      <alignment horizontal="general" vertical="bottom" textRotation="0" wrapText="false" indent="0" shrinkToFit="false"/>
      <protection locked="true" hidden="false"/>
    </xf>
    <xf numFmtId="169" fontId="21" fillId="5" borderId="0" xfId="0" applyFont="true" applyBorder="false" applyAlignment="true" applyProtection="true">
      <alignment horizontal="general" vertical="bottom" textRotation="0" wrapText="false" indent="0" shrinkToFit="false"/>
      <protection locked="true" hidden="false"/>
    </xf>
    <xf numFmtId="165" fontId="21" fillId="5" borderId="0" xfId="0" applyFont="true" applyBorder="false" applyAlignment="true" applyProtection="true">
      <alignment horizontal="general" vertical="bottom" textRotation="0" wrapText="false" indent="0" shrinkToFit="false"/>
      <protection locked="true" hidden="false"/>
    </xf>
    <xf numFmtId="165" fontId="22" fillId="5" borderId="18" xfId="0" applyFont="true" applyBorder="true" applyAlignment="true" applyProtection="true">
      <alignment horizontal="center" vertical="bottom" textRotation="0" wrapText="false" indent="0" shrinkToFit="false"/>
      <protection locked="true" hidden="false"/>
    </xf>
    <xf numFmtId="164" fontId="17" fillId="5" borderId="0" xfId="0" applyFont="true" applyBorder="false" applyAlignment="true" applyProtection="true">
      <alignment horizontal="center" vertical="bottom" textRotation="0" wrapText="false" indent="0" shrinkToFit="false"/>
      <protection locked="true" hidden="false"/>
    </xf>
    <xf numFmtId="165" fontId="23" fillId="5" borderId="6" xfId="0" applyFont="true" applyBorder="true" applyAlignment="true" applyProtection="true">
      <alignment horizontal="center" vertical="bottom" textRotation="0" wrapText="false" indent="0" shrinkToFit="false"/>
      <protection locked="true" hidden="false"/>
    </xf>
    <xf numFmtId="164" fontId="7" fillId="5" borderId="0" xfId="0" applyFont="true" applyBorder="false" applyAlignment="true" applyProtection="true">
      <alignment horizontal="center" vertical="bottom" textRotation="0" wrapText="false" indent="0" shrinkToFit="false"/>
      <protection locked="true" hidden="false"/>
    </xf>
    <xf numFmtId="164" fontId="22" fillId="5" borderId="14" xfId="0" applyFont="true" applyBorder="true" applyAlignment="true" applyProtection="true">
      <alignment horizontal="center" vertical="bottom" textRotation="0" wrapText="false" indent="0" shrinkToFit="false"/>
      <protection locked="true" hidden="false"/>
    </xf>
    <xf numFmtId="164" fontId="22" fillId="5" borderId="1"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22" fillId="5" borderId="1" xfId="0" applyFont="true" applyBorder="true" applyAlignment="true" applyProtection="true">
      <alignment horizontal="center" vertical="bottom" textRotation="0" wrapText="false" indent="0" shrinkToFit="false"/>
      <protection locked="true" hidden="false"/>
    </xf>
    <xf numFmtId="164" fontId="23" fillId="5" borderId="0" xfId="0" applyFont="true" applyBorder="true" applyAlignment="true" applyProtection="true">
      <alignment horizontal="center" vertical="bottom" textRotation="0" wrapText="false" indent="0" shrinkToFit="false"/>
      <protection locked="true" hidden="false"/>
    </xf>
    <xf numFmtId="165" fontId="25" fillId="5" borderId="0" xfId="0" applyFont="true" applyBorder="false" applyAlignment="true" applyProtection="true">
      <alignment horizontal="general" vertical="bottom" textRotation="0" wrapText="false" indent="0" shrinkToFit="false"/>
      <protection locked="true" hidden="false"/>
    </xf>
    <xf numFmtId="164" fontId="27" fillId="5" borderId="1" xfId="0" applyFont="true" applyBorder="true" applyAlignment="true" applyProtection="true">
      <alignment horizontal="center" vertical="center" textRotation="0" wrapText="false" indent="0" shrinkToFit="false"/>
      <protection locked="true" hidden="false"/>
    </xf>
    <xf numFmtId="169" fontId="39" fillId="5" borderId="3" xfId="0" applyFont="true" applyBorder="true" applyAlignment="true" applyProtection="true">
      <alignment horizontal="center" vertical="bottom" textRotation="0" wrapText="true" indent="0" shrinkToFit="false"/>
      <protection locked="true" hidden="false"/>
    </xf>
    <xf numFmtId="164" fontId="27" fillId="5" borderId="5" xfId="0" applyFont="true" applyBorder="true" applyAlignment="true" applyProtection="true">
      <alignment horizontal="center" vertical="bottom" textRotation="0" wrapText="false" indent="0" shrinkToFit="false"/>
      <protection locked="true" hidden="false"/>
    </xf>
    <xf numFmtId="169" fontId="39" fillId="5" borderId="5" xfId="0" applyFont="true" applyBorder="true" applyAlignment="true" applyProtection="true">
      <alignment horizontal="center" vertical="bottom" textRotation="0" wrapText="true" indent="0" shrinkToFit="false"/>
      <protection locked="true" hidden="false"/>
    </xf>
    <xf numFmtId="169" fontId="39" fillId="5" borderId="4" xfId="0" applyFont="true" applyBorder="true" applyAlignment="true" applyProtection="true">
      <alignment horizontal="center" vertical="bottom" textRotation="0" wrapText="true" indent="0" shrinkToFit="false"/>
      <protection locked="true" hidden="false"/>
    </xf>
    <xf numFmtId="169" fontId="29" fillId="5" borderId="0" xfId="0" applyFont="true" applyBorder="true" applyAlignment="true" applyProtection="true">
      <alignment horizontal="center" vertical="bottom" textRotation="0" wrapText="false" indent="0" shrinkToFit="false"/>
      <protection locked="true" hidden="false"/>
    </xf>
    <xf numFmtId="165" fontId="29" fillId="5" borderId="0" xfId="0" applyFont="true" applyBorder="true" applyAlignment="true" applyProtection="true">
      <alignment horizontal="center" vertical="bottom" textRotation="0" wrapText="false" indent="0" shrinkToFit="false"/>
      <protection locked="true" hidden="false"/>
    </xf>
    <xf numFmtId="164" fontId="32" fillId="5" borderId="0" xfId="0" applyFont="true" applyBorder="true" applyAlignment="true" applyProtection="true">
      <alignment horizontal="center" vertical="center" textRotation="0" wrapText="false" indent="0" shrinkToFit="false"/>
      <protection locked="true" hidden="false"/>
    </xf>
    <xf numFmtId="164" fontId="35" fillId="5" borderId="0" xfId="0" applyFont="true" applyBorder="true" applyAlignment="true" applyProtection="true">
      <alignment horizontal="general" vertical="bottom" textRotation="0" wrapText="false" indent="0" shrinkToFit="false"/>
      <protection locked="true" hidden="false"/>
    </xf>
    <xf numFmtId="169" fontId="34" fillId="5" borderId="0" xfId="0" applyFont="true" applyBorder="true" applyAlignment="true" applyProtection="true">
      <alignment horizontal="center" vertical="bottom" textRotation="0" wrapText="false" indent="0" shrinkToFit="false"/>
      <protection locked="true" hidden="false"/>
    </xf>
    <xf numFmtId="164" fontId="34" fillId="5" borderId="0" xfId="0" applyFont="true" applyBorder="true" applyAlignment="true" applyProtection="true">
      <alignment horizontal="general" vertical="bottom" textRotation="0" wrapText="false" indent="0" shrinkToFit="false"/>
      <protection locked="true" hidden="false"/>
    </xf>
    <xf numFmtId="169" fontId="40" fillId="5" borderId="0" xfId="0" applyFont="true" applyBorder="true" applyAlignment="true" applyProtection="true">
      <alignment horizontal="center" vertical="bottom" textRotation="0" wrapText="false" indent="0" shrinkToFit="false"/>
      <protection locked="true" hidden="false"/>
    </xf>
    <xf numFmtId="165" fontId="40" fillId="5" borderId="0" xfId="0" applyFont="true" applyBorder="true" applyAlignment="true" applyProtection="true">
      <alignment horizontal="center" vertical="bottom" textRotation="0" wrapText="false" indent="0" shrinkToFit="false"/>
      <protection locked="true" hidden="false"/>
    </xf>
    <xf numFmtId="169" fontId="17" fillId="6" borderId="1" xfId="0" applyFont="true" applyBorder="true" applyAlignment="true" applyProtection="true">
      <alignment horizontal="center" vertical="center" textRotation="0" wrapText="false" indent="0" shrinkToFit="false"/>
      <protection locked="true" hidden="false"/>
    </xf>
    <xf numFmtId="169" fontId="17" fillId="5" borderId="6" xfId="0" applyFont="true" applyBorder="true" applyAlignment="true" applyProtection="true">
      <alignment horizontal="general" vertical="bottom" textRotation="0" wrapText="false" indent="0" shrinkToFit="false"/>
      <protection locked="true" hidden="false"/>
    </xf>
    <xf numFmtId="164" fontId="37" fillId="5" borderId="0" xfId="0" applyFont="true" applyBorder="true" applyAlignment="true" applyProtection="true">
      <alignment horizontal="left" vertical="bottom" textRotation="0" wrapText="true" indent="0" shrinkToFit="false"/>
      <protection locked="true" hidden="false"/>
    </xf>
    <xf numFmtId="164" fontId="29" fillId="5" borderId="0" xfId="0" applyFont="true" applyBorder="true" applyAlignment="true" applyProtection="true">
      <alignment horizontal="left" vertical="bottom" textRotation="0" wrapText="false" indent="0" shrinkToFit="false"/>
      <protection locked="true" hidden="false"/>
    </xf>
    <xf numFmtId="164" fontId="37" fillId="5" borderId="0" xfId="0" applyFont="true" applyBorder="true" applyAlignment="true" applyProtection="true">
      <alignment horizontal="general" vertical="bottom" textRotation="0" wrapText="true" indent="0" shrinkToFit="false"/>
      <protection locked="true" hidden="false"/>
    </xf>
    <xf numFmtId="169" fontId="17" fillId="5" borderId="35" xfId="0" applyFont="true" applyBorder="true" applyAlignment="true" applyProtection="true">
      <alignment horizontal="general" vertical="bottom" textRotation="0" wrapText="false" indent="0" shrinkToFit="false"/>
      <protection locked="true" hidden="false"/>
    </xf>
    <xf numFmtId="169" fontId="17" fillId="5" borderId="28" xfId="0" applyFont="true" applyBorder="true" applyAlignment="true" applyProtection="true">
      <alignment horizontal="general" vertical="bottom" textRotation="0" wrapText="false" indent="0" shrinkToFit="false"/>
      <protection locked="true" hidden="false"/>
    </xf>
    <xf numFmtId="171" fontId="17" fillId="5" borderId="30" xfId="0" applyFont="true" applyBorder="true" applyAlignment="true" applyProtection="true">
      <alignment horizontal="general" vertical="bottom" textRotation="0" wrapText="false" indent="0" shrinkToFit="false"/>
      <protection locked="true" hidden="false"/>
    </xf>
    <xf numFmtId="164" fontId="8" fillId="0" borderId="13" xfId="0" applyFont="true" applyBorder="true" applyAlignment="true" applyProtection="true">
      <alignment horizontal="center" vertical="bottom" textRotation="0" wrapText="false" indent="0" shrinkToFit="false"/>
      <protection locked="true" hidden="false"/>
    </xf>
    <xf numFmtId="169" fontId="17" fillId="5" borderId="38" xfId="0" applyFont="true" applyBorder="true" applyAlignment="true" applyProtection="true">
      <alignment horizontal="general" vertical="bottom" textRotation="0" wrapText="false" indent="0" shrinkToFit="false"/>
      <protection locked="true" hidden="false"/>
    </xf>
    <xf numFmtId="169" fontId="38" fillId="6" borderId="1" xfId="0" applyFont="true" applyBorder="true" applyAlignment="true" applyProtection="true">
      <alignment horizontal="center" vertical="center" textRotation="0" wrapText="false" indent="0" shrinkToFit="false"/>
      <protection locked="false" hidden="false"/>
    </xf>
    <xf numFmtId="169" fontId="17" fillId="5" borderId="33" xfId="0" applyFont="true" applyBorder="true" applyAlignment="true" applyProtection="true">
      <alignment horizontal="general" vertical="bottom" textRotation="0" wrapText="false" indent="0" shrinkToFit="false"/>
      <protection locked="true" hidden="false"/>
    </xf>
    <xf numFmtId="169" fontId="37" fillId="5" borderId="15" xfId="0" applyFont="true" applyBorder="true" applyAlignment="true" applyProtection="true">
      <alignment horizontal="center" vertical="center" textRotation="0" wrapText="false" indent="0" shrinkToFit="false"/>
      <protection locked="true" hidden="false"/>
    </xf>
    <xf numFmtId="169" fontId="17" fillId="5" borderId="39" xfId="0" applyFont="true" applyBorder="true" applyAlignment="true" applyProtection="true">
      <alignment horizontal="general" vertical="bottom" textRotation="0" wrapText="false" indent="0" shrinkToFit="false"/>
      <protection locked="true" hidden="false"/>
    </xf>
    <xf numFmtId="164" fontId="37" fillId="5" borderId="9" xfId="0" applyFont="true" applyBorder="true" applyAlignment="true" applyProtection="true">
      <alignment horizontal="center" vertical="bottom" textRotation="0" wrapText="false" indent="0" shrinkToFit="false"/>
      <protection locked="true" hidden="false"/>
    </xf>
    <xf numFmtId="169" fontId="17" fillId="5" borderId="40" xfId="0" applyFont="true" applyBorder="true" applyAlignment="true" applyProtection="true">
      <alignment horizontal="general" vertical="bottom" textRotation="0" wrapText="false" indent="0" shrinkToFit="false"/>
      <protection locked="true" hidden="false"/>
    </xf>
    <xf numFmtId="169" fontId="41" fillId="5" borderId="0" xfId="0" applyFont="true" applyBorder="true" applyAlignment="true" applyProtection="true">
      <alignment horizontal="general" vertical="bottom" textRotation="0" wrapText="false" indent="0" shrinkToFit="false"/>
      <protection locked="true" hidden="false"/>
    </xf>
    <xf numFmtId="164" fontId="42" fillId="5" borderId="0" xfId="0" applyFont="true" applyBorder="false" applyAlignment="true" applyProtection="true">
      <alignment horizontal="right" vertical="bottom" textRotation="0" wrapText="false" indent="0" shrinkToFit="false"/>
      <protection locked="true" hidden="false"/>
    </xf>
    <xf numFmtId="171" fontId="21" fillId="5" borderId="0" xfId="0" applyFont="true" applyBorder="true" applyAlignment="true" applyProtection="true">
      <alignment horizontal="general" vertical="bottom" textRotation="0" wrapText="false" indent="0" shrinkToFit="false"/>
      <protection locked="true" hidden="false"/>
    </xf>
    <xf numFmtId="171" fontId="41" fillId="5" borderId="0" xfId="0" applyFont="true" applyBorder="true" applyAlignment="true" applyProtection="true">
      <alignment horizontal="general" vertical="bottom" textRotation="0" wrapText="false" indent="0" shrinkToFit="false"/>
      <protection locked="true" hidden="false"/>
    </xf>
    <xf numFmtId="165" fontId="41" fillId="5" borderId="0" xfId="0" applyFont="true" applyBorder="true" applyAlignment="true" applyProtection="true">
      <alignment horizontal="general" vertical="bottom" textRotation="0" wrapText="false" indent="0" shrinkToFit="false"/>
      <protection locked="true" hidden="false"/>
    </xf>
    <xf numFmtId="164" fontId="22" fillId="5" borderId="1" xfId="0" applyFont="true" applyBorder="true" applyAlignment="true" applyProtection="true">
      <alignment horizontal="left" vertical="bottom" textRotation="0" wrapText="false" indent="0" shrinkToFit="false"/>
      <protection locked="true" hidden="true"/>
    </xf>
    <xf numFmtId="164" fontId="22" fillId="5" borderId="1" xfId="0" applyFont="true" applyBorder="true" applyAlignment="true" applyProtection="true">
      <alignment horizontal="center" vertical="bottom" textRotation="0" wrapText="false" indent="0" shrinkToFit="false"/>
      <protection locked="true" hidden="true"/>
    </xf>
    <xf numFmtId="169" fontId="29" fillId="5" borderId="13" xfId="0" applyFont="true" applyBorder="true" applyAlignment="true" applyProtection="true">
      <alignment horizontal="center" vertical="bottom" textRotation="0" wrapText="false" indent="0" shrinkToFit="false"/>
      <protection locked="true" hidden="false"/>
    </xf>
    <xf numFmtId="171" fontId="38" fillId="5" borderId="0" xfId="0" applyFont="true" applyBorder="true" applyAlignment="true" applyProtection="true">
      <alignment horizontal="general" vertical="bottom" textRotation="0" wrapText="false" indent="0" shrinkToFit="false"/>
      <protection locked="true" hidden="true"/>
    </xf>
    <xf numFmtId="164" fontId="29" fillId="5" borderId="29" xfId="0" applyFont="true" applyBorder="true" applyAlignment="true" applyProtection="true">
      <alignment horizontal="right" vertical="center" textRotation="0" wrapText="false" indent="0" shrinkToFit="false"/>
      <protection locked="true" hidden="false"/>
    </xf>
    <xf numFmtId="164" fontId="17" fillId="5" borderId="29" xfId="0" applyFont="true" applyBorder="true" applyAlignment="true" applyProtection="true">
      <alignment horizontal="right" vertical="bottom" textRotation="0" wrapText="false" indent="0" shrinkToFit="false"/>
      <protection locked="true" hidden="false"/>
    </xf>
    <xf numFmtId="169" fontId="17" fillId="5" borderId="38" xfId="0" applyFont="true" applyBorder="true" applyAlignment="true" applyProtection="true">
      <alignment horizontal="general" vertical="bottom" textRotation="0" wrapText="false" indent="0" shrinkToFit="false"/>
      <protection locked="true" hidden="true"/>
    </xf>
    <xf numFmtId="169" fontId="17" fillId="5" borderId="39" xfId="0" applyFont="true" applyBorder="true" applyAlignment="true" applyProtection="true">
      <alignment horizontal="general" vertical="bottom" textRotation="0" wrapText="false" indent="0" shrinkToFit="false"/>
      <protection locked="true" hidden="true"/>
    </xf>
    <xf numFmtId="164" fontId="0" fillId="5" borderId="11" xfId="0" applyFont="false" applyBorder="true" applyAlignment="true" applyProtection="true">
      <alignment horizontal="general" vertical="bottom" textRotation="0" wrapText="false" indent="0" shrinkToFit="false"/>
      <protection locked="true" hidden="false"/>
    </xf>
    <xf numFmtId="164" fontId="0" fillId="5" borderId="15" xfId="0" applyFont="false" applyBorder="true" applyAlignment="true" applyProtection="true">
      <alignment horizontal="general" vertical="bottom" textRotation="0" wrapText="false" indent="0" shrinkToFit="false"/>
      <protection locked="true" hidden="false"/>
    </xf>
    <xf numFmtId="164" fontId="43" fillId="5" borderId="0" xfId="0" applyFont="true" applyBorder="true" applyAlignment="true" applyProtection="true">
      <alignment horizontal="center" vertical="bottom" textRotation="0" wrapText="false" indent="0" shrinkToFit="false"/>
      <protection locked="true" hidden="false"/>
    </xf>
    <xf numFmtId="165" fontId="43" fillId="5" borderId="0" xfId="0" applyFont="true" applyBorder="true" applyAlignment="true" applyProtection="true">
      <alignment horizontal="center" vertical="bottom" textRotation="0" wrapText="false" indent="0" shrinkToFit="false"/>
      <protection locked="true" hidden="false"/>
    </xf>
    <xf numFmtId="165" fontId="26" fillId="5" borderId="0"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true"/>
    </xf>
    <xf numFmtId="164" fontId="22" fillId="5" borderId="0" xfId="0" applyFont="true" applyBorder="true" applyAlignment="true" applyProtection="true">
      <alignment horizontal="center" vertical="bottom" textRotation="0" wrapText="false" indent="0" shrinkToFit="false"/>
      <protection locked="true" hidden="true"/>
    </xf>
    <xf numFmtId="164" fontId="27" fillId="5" borderId="7" xfId="0" applyFont="true" applyBorder="true" applyAlignment="true" applyProtection="true">
      <alignment horizontal="center" vertical="center" textRotation="0" wrapText="false" indent="0" shrinkToFit="false"/>
      <protection locked="true" hidden="false"/>
    </xf>
    <xf numFmtId="169" fontId="39" fillId="5" borderId="10" xfId="0" applyFont="true" applyBorder="true" applyAlignment="true" applyProtection="true">
      <alignment horizontal="center" vertical="bottom" textRotation="0" wrapText="true" indent="0" shrinkToFit="false"/>
      <protection locked="true" hidden="false"/>
    </xf>
    <xf numFmtId="169" fontId="33" fillId="5" borderId="11" xfId="0" applyFont="true" applyBorder="true" applyAlignment="true" applyProtection="true">
      <alignment horizontal="center" vertical="bottom" textRotation="0" wrapText="true" indent="0" shrinkToFit="false"/>
      <protection locked="true" hidden="false"/>
    </xf>
    <xf numFmtId="165" fontId="33" fillId="5" borderId="12" xfId="0" applyFont="true" applyBorder="true" applyAlignment="true" applyProtection="true">
      <alignment horizontal="center" vertical="bottom" textRotation="0" wrapText="true" indent="0" shrinkToFit="false"/>
      <protection locked="true" hidden="false"/>
    </xf>
    <xf numFmtId="164" fontId="32" fillId="5" borderId="9" xfId="0" applyFont="true" applyBorder="true" applyAlignment="true" applyProtection="true">
      <alignment horizontal="center" vertical="center" textRotation="0" wrapText="false" indent="0" shrinkToFit="false"/>
      <protection locked="true" hidden="false"/>
    </xf>
    <xf numFmtId="164" fontId="35" fillId="5" borderId="16" xfId="0" applyFont="true" applyBorder="true" applyAlignment="true" applyProtection="true">
      <alignment horizontal="general" vertical="bottom" textRotation="0" wrapText="false" indent="0" shrinkToFit="false"/>
      <protection locked="true" hidden="false"/>
    </xf>
    <xf numFmtId="165" fontId="33" fillId="5" borderId="16" xfId="0" applyFont="true" applyBorder="true" applyAlignment="true" applyProtection="true">
      <alignment horizontal="center" vertical="bottom" textRotation="0" wrapText="false" indent="0" shrinkToFit="false"/>
      <protection locked="true" hidden="false"/>
    </xf>
    <xf numFmtId="164" fontId="23" fillId="5" borderId="6" xfId="0" applyFont="true" applyBorder="true" applyAlignment="true" applyProtection="true">
      <alignment horizontal="center" vertical="bottom" textRotation="0" wrapText="false" indent="0" shrinkToFit="false"/>
      <protection locked="true" hidden="false"/>
    </xf>
    <xf numFmtId="170" fontId="22" fillId="5" borderId="1" xfId="0" applyFont="true" applyBorder="true" applyAlignment="true" applyProtection="true">
      <alignment horizontal="center" vertical="bottom" textRotation="0" wrapText="false" indent="0" shrinkToFit="false"/>
      <protection locked="true" hidden="true"/>
    </xf>
    <xf numFmtId="164" fontId="44" fillId="5" borderId="11" xfId="0" applyFont="true" applyBorder="true" applyAlignment="true" applyProtection="true">
      <alignment horizontal="center" vertical="bottom" textRotation="0" wrapText="false" indent="0" shrinkToFit="false"/>
      <protection locked="true" hidden="false"/>
    </xf>
    <xf numFmtId="169" fontId="33" fillId="5" borderId="12" xfId="0" applyFont="true" applyBorder="true" applyAlignment="true" applyProtection="true">
      <alignment horizontal="center" vertical="bottom" textRotation="0" wrapText="true" indent="0" shrinkToFit="false"/>
      <protection locked="true" hidden="false"/>
    </xf>
    <xf numFmtId="164" fontId="39" fillId="5" borderId="15" xfId="0" applyFont="true" applyBorder="true" applyAlignment="true" applyProtection="true">
      <alignment horizontal="general" vertical="bottom" textRotation="0" wrapText="false" indent="0" shrinkToFit="false"/>
      <protection locked="true" hidden="false"/>
    </xf>
    <xf numFmtId="164" fontId="37" fillId="5" borderId="0" xfId="0" applyFont="true" applyBorder="true" applyAlignment="true" applyProtection="true">
      <alignment horizontal="general" vertical="center" textRotation="0" wrapText="true" indent="0" shrinkToFit="false"/>
      <protection locked="true" hidden="false"/>
    </xf>
    <xf numFmtId="164" fontId="22" fillId="5" borderId="18" xfId="0" applyFont="true" applyBorder="true" applyAlignment="true" applyProtection="true">
      <alignment horizontal="center" vertical="bottom" textRotation="0" wrapText="true" indent="0" shrinkToFit="false"/>
      <protection locked="true" hidden="false"/>
    </xf>
    <xf numFmtId="164" fontId="45" fillId="5" borderId="15" xfId="0" applyFont="true" applyBorder="true" applyAlignment="true" applyProtection="true">
      <alignment horizontal="center" vertical="center" textRotation="0" wrapText="false" indent="0" shrinkToFit="false"/>
      <protection locked="true" hidden="false"/>
    </xf>
    <xf numFmtId="164" fontId="23" fillId="5" borderId="8" xfId="0" applyFont="true" applyBorder="true" applyAlignment="true" applyProtection="true">
      <alignment horizontal="center" vertical="center" textRotation="0" wrapText="true" indent="0" shrinkToFit="false"/>
      <protection locked="true" hidden="false"/>
    </xf>
    <xf numFmtId="164" fontId="45" fillId="5" borderId="11" xfId="0" applyFont="true" applyBorder="true" applyAlignment="true" applyProtection="true">
      <alignment horizontal="center" vertical="center" textRotation="0" wrapText="false" indent="0" shrinkToFit="false"/>
      <protection locked="true" hidden="false"/>
    </xf>
    <xf numFmtId="164" fontId="26" fillId="5" borderId="36" xfId="0" applyFont="true" applyBorder="true" applyAlignment="true" applyProtection="true">
      <alignment horizontal="center" vertical="bottom" textRotation="0" wrapText="false" indent="0" shrinkToFit="false"/>
      <protection locked="true" hidden="false"/>
    </xf>
    <xf numFmtId="164" fontId="7" fillId="5" borderId="0" xfId="0" applyFont="true" applyBorder="true" applyAlignment="true" applyProtection="true">
      <alignment horizontal="general" vertical="bottom" textRotation="0" wrapText="false" indent="0" shrinkToFit="false"/>
      <protection locked="true" hidden="false"/>
    </xf>
    <xf numFmtId="164" fontId="26" fillId="5" borderId="11" xfId="0" applyFont="true" applyBorder="true" applyAlignment="true" applyProtection="true">
      <alignment horizontal="center" vertical="bottom" textRotation="0" wrapText="false" indent="0" shrinkToFit="false"/>
      <protection locked="true" hidden="false"/>
    </xf>
    <xf numFmtId="164" fontId="32" fillId="5" borderId="15" xfId="0" applyFont="true" applyBorder="true" applyAlignment="true" applyProtection="true">
      <alignment horizontal="center" vertical="center" textRotation="0" wrapText="false" indent="0" shrinkToFit="false"/>
      <protection locked="true" hidden="false"/>
    </xf>
    <xf numFmtId="164" fontId="37" fillId="5" borderId="0" xfId="0" applyFont="true" applyBorder="true" applyAlignment="true" applyProtection="true">
      <alignment horizontal="center" vertical="bottom" textRotation="0" wrapText="fals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37" fillId="5" borderId="41" xfId="0" applyFont="true" applyBorder="true" applyAlignment="true" applyProtection="true">
      <alignment horizontal="center" vertical="center" textRotation="0" wrapText="false" indent="0" shrinkToFit="false"/>
      <protection locked="true" hidden="false"/>
    </xf>
    <xf numFmtId="164" fontId="37" fillId="5" borderId="19" xfId="0" applyFont="true" applyBorder="true" applyAlignment="true" applyProtection="true">
      <alignment horizontal="left" vertical="center" textRotation="0" wrapText="true" indent="0" shrinkToFit="false"/>
      <protection locked="true" hidden="false"/>
    </xf>
    <xf numFmtId="164" fontId="28" fillId="5" borderId="41" xfId="0" applyFont="true" applyBorder="true" applyAlignment="true" applyProtection="true">
      <alignment horizontal="right" vertical="bottom" textRotation="0" wrapText="false" indent="0" shrinkToFit="false"/>
      <protection locked="true" hidden="false"/>
    </xf>
    <xf numFmtId="170" fontId="17" fillId="5" borderId="20" xfId="0" applyFont="true" applyBorder="true" applyAlignment="true" applyProtection="true">
      <alignment horizontal="center" vertical="center" textRotation="0" wrapText="false" indent="0" shrinkToFit="false"/>
      <protection locked="true" hidden="false"/>
    </xf>
    <xf numFmtId="169" fontId="17" fillId="5" borderId="1" xfId="0" applyFont="true" applyBorder="true" applyAlignment="true" applyProtection="true">
      <alignment horizontal="center" vertical="center" textRotation="0" wrapText="false" indent="0" shrinkToFit="false"/>
      <protection locked="true" hidden="true"/>
    </xf>
    <xf numFmtId="164" fontId="17" fillId="5" borderId="13"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true" applyAlignment="true" applyProtection="true">
      <alignment horizontal="center" vertical="center" textRotation="0" wrapText="false" indent="0" shrinkToFit="false"/>
      <protection locked="true" hidden="false"/>
    </xf>
    <xf numFmtId="169" fontId="0" fillId="0" borderId="0" xfId="0" applyFont="false" applyBorder="true" applyAlignment="true" applyProtection="true">
      <alignment horizontal="center" vertical="center" textRotation="0" wrapText="false" indent="0" shrinkToFit="false"/>
      <protection locked="true" hidden="true"/>
    </xf>
    <xf numFmtId="172" fontId="17" fillId="5" borderId="0" xfId="0" applyFont="true" applyBorder="false" applyAlignment="true" applyProtection="true">
      <alignment horizontal="general" vertical="bottom" textRotation="0" wrapText="false" indent="0" shrinkToFit="false"/>
      <protection locked="true" hidden="false"/>
    </xf>
    <xf numFmtId="164" fontId="17" fillId="5" borderId="0" xfId="0" applyFont="true" applyBorder="true" applyAlignment="true" applyProtection="true">
      <alignment horizontal="center" vertical="bottom" textRotation="0" wrapText="false" indent="0" shrinkToFit="false"/>
      <protection locked="true" hidden="false"/>
    </xf>
    <xf numFmtId="169" fontId="0" fillId="0" borderId="0" xfId="0" applyFont="false" applyBorder="false" applyAlignment="true" applyProtection="true">
      <alignment horizontal="general" vertical="bottom" textRotation="0" wrapText="false" indent="0" shrinkToFit="false"/>
      <protection locked="true" hidden="true"/>
    </xf>
    <xf numFmtId="164" fontId="37" fillId="5" borderId="0" xfId="0" applyFont="true" applyBorder="true" applyAlignment="true" applyProtection="true">
      <alignment horizontal="general" vertical="bottom" textRotation="0" wrapText="false" indent="0" shrinkToFit="false"/>
      <protection locked="true" hidden="false"/>
    </xf>
    <xf numFmtId="164" fontId="23" fillId="5" borderId="36" xfId="0" applyFont="true" applyBorder="true" applyAlignment="true" applyProtection="true">
      <alignment horizontal="center" vertical="bottom" textRotation="0" wrapText="false" indent="0" shrinkToFit="false"/>
      <protection locked="true" hidden="false"/>
    </xf>
    <xf numFmtId="169" fontId="0" fillId="0" borderId="0" xfId="0" applyFont="false" applyBorder="true" applyAlignment="true" applyProtection="true">
      <alignment horizontal="general" vertical="bottom" textRotation="0" wrapText="false" indent="0" shrinkToFit="false"/>
      <protection locked="true" hidden="false"/>
    </xf>
    <xf numFmtId="169" fontId="0" fillId="0" borderId="0" xfId="0" applyFont="false" applyBorder="true" applyAlignment="true" applyProtection="true">
      <alignment horizontal="general" vertical="bottom" textRotation="0" wrapText="false" indent="0" shrinkToFit="false"/>
      <protection locked="true" hidden="true"/>
    </xf>
    <xf numFmtId="164" fontId="37" fillId="5" borderId="0" xfId="0" applyFont="true" applyBorder="true" applyAlignment="true" applyProtection="true">
      <alignment horizontal="center" vertical="center" textRotation="0" wrapText="false" indent="0" shrinkToFit="false"/>
      <protection locked="true" hidden="false"/>
    </xf>
    <xf numFmtId="171" fontId="28" fillId="5" borderId="30" xfId="0" applyFont="true" applyBorder="true" applyAlignment="true" applyProtection="true">
      <alignment horizontal="right" vertical="bottom" textRotation="0" wrapText="false" indent="0" shrinkToFit="false"/>
      <protection locked="true" hidden="false"/>
    </xf>
    <xf numFmtId="164" fontId="17" fillId="5" borderId="42" xfId="0" applyFont="true" applyBorder="true" applyAlignment="true" applyProtection="true">
      <alignment horizontal="center" vertical="bottom" textRotation="0" wrapText="false" indent="0" shrinkToFit="false"/>
      <protection locked="true" hidden="false"/>
    </xf>
    <xf numFmtId="164" fontId="17" fillId="5" borderId="21" xfId="0" applyFont="true" applyBorder="true" applyAlignment="true" applyProtection="true">
      <alignment horizontal="center" vertical="bottom" textRotation="0" wrapText="false" indent="0" shrinkToFit="false"/>
      <protection locked="true" hidden="false"/>
    </xf>
    <xf numFmtId="164" fontId="45" fillId="5" borderId="5" xfId="0" applyFont="true" applyBorder="true" applyAlignment="true" applyProtection="true">
      <alignment horizontal="center" vertical="center" textRotation="0" wrapText="false" indent="0" shrinkToFit="false"/>
      <protection locked="true" hidden="false"/>
    </xf>
    <xf numFmtId="164" fontId="23" fillId="5" borderId="1" xfId="0" applyFont="true" applyBorder="true" applyAlignment="true" applyProtection="true">
      <alignment horizontal="center" vertical="center" textRotation="0" wrapText="true" indent="0" shrinkToFit="false"/>
      <protection locked="true" hidden="false"/>
    </xf>
    <xf numFmtId="164" fontId="21" fillId="5" borderId="11" xfId="0" applyFont="true" applyBorder="true" applyAlignment="true" applyProtection="true">
      <alignment horizontal="general" vertical="bottom" textRotation="0" wrapText="false" indent="0" shrinkToFit="false"/>
      <protection locked="true" hidden="false"/>
    </xf>
    <xf numFmtId="164" fontId="37" fillId="5" borderId="6" xfId="0" applyFont="true" applyBorder="true" applyAlignment="true" applyProtection="true">
      <alignment horizontal="left" vertical="center" textRotation="0" wrapText="true" indent="0" shrinkToFit="false"/>
      <protection locked="true" hidden="false"/>
    </xf>
    <xf numFmtId="164" fontId="17" fillId="5" borderId="41" xfId="0" applyFont="true" applyBorder="true" applyAlignment="true" applyProtection="true">
      <alignment horizontal="center" vertical="bottom" textRotation="0" wrapText="false" indent="0" shrinkToFit="false"/>
      <protection locked="true" hidden="false"/>
    </xf>
    <xf numFmtId="164" fontId="17" fillId="5" borderId="19" xfId="0" applyFont="true" applyBorder="true" applyAlignment="true" applyProtection="true">
      <alignment horizontal="left" vertical="bottom" textRotation="0" wrapText="false" indent="0" shrinkToFit="false"/>
      <protection locked="true" hidden="false"/>
    </xf>
    <xf numFmtId="164" fontId="17" fillId="5" borderId="19" xfId="0" applyFont="true" applyBorder="true" applyAlignment="true" applyProtection="true">
      <alignment horizontal="center" vertical="bottom" textRotation="0" wrapText="false" indent="0" shrinkToFit="false"/>
      <protection locked="true" hidden="false"/>
    </xf>
    <xf numFmtId="169" fontId="17" fillId="5" borderId="1" xfId="0" applyFont="true" applyBorder="true" applyAlignment="true" applyProtection="true">
      <alignment horizontal="general" vertical="bottom" textRotation="0" wrapText="false" indent="0" shrinkToFit="false"/>
      <protection locked="true" hidden="true"/>
    </xf>
    <xf numFmtId="164" fontId="17" fillId="5" borderId="41" xfId="0" applyFont="true" applyBorder="true" applyAlignment="true" applyProtection="true">
      <alignment horizontal="center" vertical="top" textRotation="0" wrapText="false" indent="0" shrinkToFit="false"/>
      <protection locked="true" hidden="false"/>
    </xf>
    <xf numFmtId="164" fontId="17" fillId="5" borderId="43" xfId="0" applyFont="true" applyBorder="true" applyAlignment="true" applyProtection="true">
      <alignment horizontal="general" vertical="bottom" textRotation="0" wrapText="true" indent="0" shrinkToFit="false"/>
      <protection locked="true" hidden="false"/>
    </xf>
    <xf numFmtId="164" fontId="37" fillId="5" borderId="0" xfId="0" applyFont="true" applyBorder="false" applyAlignment="true" applyProtection="true">
      <alignment horizontal="general" vertical="bottom" textRotation="0" wrapText="false" indent="0" shrinkToFit="false"/>
      <protection locked="true" hidden="false"/>
    </xf>
    <xf numFmtId="164" fontId="17" fillId="5" borderId="0" xfId="0" applyFont="true" applyBorder="false" applyAlignment="true" applyProtection="true">
      <alignment horizontal="general" vertical="bottom" textRotation="0" wrapText="false" indent="0" shrinkToFit="false"/>
      <protection locked="true" hidden="true"/>
    </xf>
    <xf numFmtId="164" fontId="17" fillId="5" borderId="17" xfId="0" applyFont="true" applyBorder="true" applyAlignment="true" applyProtection="true">
      <alignment horizontal="center" vertical="bottom" textRotation="0" wrapText="false" indent="0" shrinkToFit="false"/>
      <protection locked="true" hidden="false"/>
    </xf>
    <xf numFmtId="164" fontId="0" fillId="5" borderId="0" xfId="0" applyFont="false" applyBorder="false" applyAlignment="true" applyProtection="true">
      <alignment horizontal="general" vertical="bottom" textRotation="0" wrapText="false" indent="0" shrinkToFit="false"/>
      <protection locked="true" hidden="true"/>
    </xf>
    <xf numFmtId="164" fontId="21" fillId="5" borderId="0" xfId="0" applyFont="true" applyBorder="true" applyAlignment="true" applyProtection="true">
      <alignment horizontal="general" vertical="bottom" textRotation="0" wrapText="false" indent="0" shrinkToFit="false"/>
      <protection locked="true" hidden="false"/>
    </xf>
    <xf numFmtId="164" fontId="26" fillId="5" borderId="29" xfId="0" applyFont="true" applyBorder="true" applyAlignment="true" applyProtection="true">
      <alignment horizontal="center" vertical="bottom" textRotation="0" wrapText="false" indent="0" shrinkToFit="false"/>
      <protection locked="true" hidden="true"/>
    </xf>
    <xf numFmtId="164" fontId="21" fillId="5" borderId="0" xfId="0" applyFont="true" applyBorder="false" applyAlignment="true" applyProtection="true">
      <alignment horizontal="general" vertical="bottom" textRotation="0" wrapText="false" indent="0" shrinkToFit="false"/>
      <protection locked="true" hidden="true"/>
    </xf>
    <xf numFmtId="164" fontId="46" fillId="5" borderId="34" xfId="0" applyFont="true" applyBorder="true" applyAlignment="true" applyProtection="true">
      <alignment horizontal="center" vertical="bottom" textRotation="0" wrapText="false" indent="0" shrinkToFit="false"/>
      <protection locked="true" hidden="false"/>
    </xf>
    <xf numFmtId="164" fontId="26" fillId="5" borderId="0" xfId="0" applyFont="true" applyBorder="true" applyAlignment="true" applyProtection="true">
      <alignment horizontal="center" vertical="bottom" textRotation="0" wrapText="false" indent="0" shrinkToFit="false"/>
      <protection locked="true" hidden="true"/>
    </xf>
    <xf numFmtId="164" fontId="22" fillId="5" borderId="3" xfId="0" applyFont="true" applyBorder="true" applyAlignment="true" applyProtection="true">
      <alignment horizontal="general" vertical="bottom" textRotation="0" wrapText="false" indent="0" shrinkToFit="false"/>
      <protection locked="true" hidden="true"/>
    </xf>
    <xf numFmtId="164" fontId="22" fillId="5" borderId="13" xfId="0" applyFont="true" applyBorder="true" applyAlignment="true" applyProtection="true">
      <alignment horizontal="general" vertical="bottom" textRotation="0" wrapText="false" indent="0" shrinkToFit="false"/>
      <protection locked="true" hidden="true"/>
    </xf>
    <xf numFmtId="164" fontId="7" fillId="5" borderId="0" xfId="0" applyFont="true" applyBorder="true" applyAlignment="true" applyProtection="true">
      <alignment horizontal="general" vertical="bottom" textRotation="0" wrapText="false" indent="0" shrinkToFit="false"/>
      <protection locked="true" hidden="true"/>
    </xf>
    <xf numFmtId="164" fontId="7" fillId="5" borderId="0" xfId="0" applyFont="true" applyBorder="false" applyAlignment="true" applyProtection="true">
      <alignment horizontal="general" vertical="bottom" textRotation="0" wrapText="false" indent="0" shrinkToFit="false"/>
      <protection locked="true" hidden="true"/>
    </xf>
    <xf numFmtId="164" fontId="47" fillId="5" borderId="0" xfId="0" applyFont="true" applyBorder="true" applyAlignment="true" applyProtection="true">
      <alignment horizontal="center" vertical="bottom" textRotation="0" wrapText="false" indent="0" shrinkToFit="false"/>
      <protection locked="true" hidden="false"/>
    </xf>
    <xf numFmtId="164" fontId="37" fillId="5" borderId="44" xfId="0" applyFont="true" applyBorder="true" applyAlignment="true" applyProtection="true">
      <alignment horizontal="general" vertical="bottom" textRotation="0" wrapText="false" indent="0" shrinkToFit="false"/>
      <protection locked="true" hidden="false"/>
    </xf>
    <xf numFmtId="164" fontId="0" fillId="5" borderId="45" xfId="0" applyFont="false" applyBorder="true" applyAlignment="true" applyProtection="true">
      <alignment horizontal="general" vertical="bottom" textRotation="0" wrapText="false" indent="0" shrinkToFit="false"/>
      <protection locked="true" hidden="false"/>
    </xf>
    <xf numFmtId="164" fontId="37" fillId="5" borderId="4" xfId="0" applyFont="true" applyBorder="true" applyAlignment="true" applyProtection="true">
      <alignment horizontal="center" vertical="bottom" textRotation="0" wrapText="false" indent="0" shrinkToFit="false"/>
      <protection locked="true" hidden="false"/>
    </xf>
    <xf numFmtId="164" fontId="37" fillId="5" borderId="13" xfId="0" applyFont="true" applyBorder="true" applyAlignment="true" applyProtection="true">
      <alignment horizontal="center" vertical="bottom" textRotation="0" wrapText="false" indent="0" shrinkToFit="false"/>
      <protection locked="true" hidden="true"/>
    </xf>
    <xf numFmtId="164" fontId="28" fillId="5" borderId="0" xfId="0" applyFont="true" applyBorder="false" applyAlignment="true" applyProtection="true">
      <alignment horizontal="left" vertical="bottom" textRotation="0" wrapText="false" indent="0" shrinkToFit="false"/>
      <protection locked="true" hidden="true"/>
    </xf>
    <xf numFmtId="164" fontId="37" fillId="5" borderId="13" xfId="0" applyFont="true" applyBorder="true" applyAlignment="true" applyProtection="true">
      <alignment horizontal="general" vertical="bottom" textRotation="0" wrapText="false" indent="0" shrinkToFit="false"/>
      <protection locked="true" hidden="false"/>
    </xf>
    <xf numFmtId="164" fontId="0" fillId="5" borderId="0" xfId="0" applyFont="false" applyBorder="true" applyAlignment="true" applyProtection="true">
      <alignment horizontal="general" vertical="bottom" textRotation="0" wrapText="false" indent="0" shrinkToFit="false"/>
      <protection locked="true" hidden="false"/>
    </xf>
    <xf numFmtId="164" fontId="37" fillId="5" borderId="14" xfId="0" applyFont="true" applyBorder="true" applyAlignment="true" applyProtection="true">
      <alignment horizontal="center" vertical="bottom" textRotation="0" wrapText="false" indent="0" shrinkToFit="false"/>
      <protection locked="true" hidden="false"/>
    </xf>
    <xf numFmtId="164" fontId="37" fillId="5" borderId="0" xfId="0" applyFont="true" applyBorder="true" applyAlignment="true" applyProtection="true">
      <alignment horizontal="center" vertical="bottom" textRotation="0" wrapText="false" indent="0" shrinkToFit="false"/>
      <protection locked="true" hidden="true"/>
    </xf>
    <xf numFmtId="164" fontId="27" fillId="5" borderId="13" xfId="0" applyFont="true" applyBorder="true" applyAlignment="true" applyProtection="true">
      <alignment horizontal="center" vertical="bottom" textRotation="0" wrapText="false" indent="0" shrinkToFit="false"/>
      <protection locked="true" hidden="false"/>
    </xf>
    <xf numFmtId="164" fontId="30" fillId="5" borderId="0" xfId="0" applyFont="true" applyBorder="true" applyAlignment="true" applyProtection="true">
      <alignment horizontal="center" vertical="bottom" textRotation="0" wrapText="false" indent="0" shrinkToFit="false"/>
      <protection locked="true" hidden="false"/>
    </xf>
    <xf numFmtId="164" fontId="27" fillId="5" borderId="17" xfId="0" applyFont="true" applyBorder="true" applyAlignment="true" applyProtection="true">
      <alignment horizontal="center" vertical="bottom" textRotation="0" wrapText="false" indent="0" shrinkToFit="false"/>
      <protection locked="true" hidden="false"/>
    </xf>
    <xf numFmtId="164" fontId="27" fillId="5" borderId="42" xfId="0" applyFont="true" applyBorder="true" applyAlignment="true" applyProtection="true">
      <alignment horizontal="center" vertical="bottom" textRotation="0" wrapText="false" indent="0" shrinkToFit="false"/>
      <protection locked="true" hidden="false"/>
    </xf>
    <xf numFmtId="164" fontId="27" fillId="5" borderId="46" xfId="0" applyFont="true" applyBorder="true" applyAlignment="true" applyProtection="true">
      <alignment horizontal="center" vertical="bottom" textRotation="0" wrapText="false" indent="0" shrinkToFit="false"/>
      <protection locked="true" hidden="false"/>
    </xf>
    <xf numFmtId="164" fontId="27" fillId="5" borderId="21" xfId="0" applyFont="true" applyBorder="true" applyAlignment="true" applyProtection="true">
      <alignment horizontal="center" vertical="bottom" textRotation="0" wrapText="false" indent="0" shrinkToFit="false"/>
      <protection locked="true" hidden="false"/>
    </xf>
    <xf numFmtId="164" fontId="27" fillId="5" borderId="0" xfId="0" applyFont="true" applyBorder="true" applyAlignment="true" applyProtection="true">
      <alignment horizontal="center" vertical="bottom" textRotation="0" wrapText="false" indent="0" shrinkToFit="false"/>
      <protection locked="true" hidden="false"/>
    </xf>
    <xf numFmtId="164" fontId="30" fillId="0" borderId="14" xfId="0" applyFont="true" applyBorder="true" applyAlignment="true" applyProtection="true">
      <alignment horizontal="center" vertical="bottom" textRotation="0" wrapText="false" indent="0" shrinkToFit="false"/>
      <protection locked="true" hidden="false"/>
    </xf>
    <xf numFmtId="164" fontId="27" fillId="5" borderId="0" xfId="0" applyFont="true" applyBorder="false" applyAlignment="true" applyProtection="true">
      <alignment horizontal="center" vertical="bottom" textRotation="0" wrapText="false" indent="0" shrinkToFit="false"/>
      <protection locked="true" hidden="true"/>
    </xf>
    <xf numFmtId="164" fontId="27" fillId="5" borderId="0" xfId="0" applyFont="true" applyBorder="false" applyAlignment="true" applyProtection="true">
      <alignment horizontal="center" vertical="bottom" textRotation="0" wrapText="false" indent="0" shrinkToFit="false"/>
      <protection locked="true" hidden="false"/>
    </xf>
    <xf numFmtId="164" fontId="27" fillId="0" borderId="0" xfId="0" applyFont="true" applyBorder="false" applyAlignment="true" applyProtection="true">
      <alignment horizontal="center" vertical="bottom" textRotation="0" wrapText="false" indent="0" shrinkToFit="false"/>
      <protection locked="true" hidden="false"/>
    </xf>
    <xf numFmtId="164" fontId="48" fillId="0" borderId="0" xfId="0" applyFont="true" applyBorder="false" applyAlignment="true" applyProtection="true">
      <alignment horizontal="center" vertical="bottom" textRotation="0" wrapText="false" indent="0" shrinkToFit="false"/>
      <protection locked="true" hidden="false"/>
    </xf>
    <xf numFmtId="164" fontId="48" fillId="5" borderId="0" xfId="0" applyFont="true" applyBorder="true" applyAlignment="true" applyProtection="true">
      <alignment horizontal="center" vertical="bottom" textRotation="0" wrapText="false" indent="0" shrinkToFit="false"/>
      <protection locked="true" hidden="false"/>
    </xf>
    <xf numFmtId="164" fontId="28" fillId="5" borderId="18" xfId="0" applyFont="true" applyBorder="true" applyAlignment="true" applyProtection="true">
      <alignment horizontal="center" vertical="bottom" textRotation="0" wrapText="true" indent="0" shrinkToFit="false"/>
      <protection locked="true" hidden="false"/>
    </xf>
    <xf numFmtId="164" fontId="28" fillId="5" borderId="0" xfId="0" applyFont="true" applyBorder="true" applyAlignment="true" applyProtection="true">
      <alignment horizontal="center" vertical="bottom" textRotation="0" wrapText="false" indent="0" shrinkToFit="false"/>
      <protection locked="true" hidden="false"/>
    </xf>
    <xf numFmtId="164" fontId="48" fillId="0" borderId="14" xfId="0" applyFont="true" applyBorder="true" applyAlignment="true" applyProtection="true">
      <alignment horizontal="center" vertical="bottom" textRotation="0" wrapText="false" indent="0" shrinkToFit="false"/>
      <protection locked="true" hidden="false"/>
    </xf>
    <xf numFmtId="164" fontId="28" fillId="5" borderId="0" xfId="0" applyFont="true" applyBorder="false" applyAlignment="true" applyProtection="true">
      <alignment horizontal="center" vertical="bottom" textRotation="0" wrapText="false" indent="0" shrinkToFit="false"/>
      <protection locked="true" hidden="true"/>
    </xf>
    <xf numFmtId="164" fontId="28" fillId="5" borderId="0" xfId="0" applyFont="true" applyBorder="false" applyAlignment="true" applyProtection="true">
      <alignment horizontal="center" vertical="bottom" textRotation="0" wrapText="false" indent="0" shrinkToFit="false"/>
      <protection locked="true" hidden="false"/>
    </xf>
    <xf numFmtId="164" fontId="28" fillId="0" borderId="0" xfId="0" applyFont="true" applyBorder="false" applyAlignment="true" applyProtection="true">
      <alignment horizontal="center" vertical="bottom" textRotation="0" wrapText="false" indent="0" shrinkToFit="false"/>
      <protection locked="true" hidden="false"/>
    </xf>
    <xf numFmtId="164" fontId="28" fillId="5" borderId="6" xfId="0" applyFont="true" applyBorder="true" applyAlignment="true" applyProtection="true">
      <alignment horizontal="center" vertical="bottom" textRotation="0" wrapText="false" indent="0" shrinkToFit="false"/>
      <protection locked="true" hidden="false"/>
    </xf>
    <xf numFmtId="164" fontId="28" fillId="5" borderId="47" xfId="0" applyFont="true" applyBorder="true" applyAlignment="true" applyProtection="true">
      <alignment horizontal="center" vertical="bottom" textRotation="0" wrapText="false" indent="0" shrinkToFit="false"/>
      <protection locked="true" hidden="false"/>
    </xf>
    <xf numFmtId="164" fontId="28" fillId="5" borderId="48" xfId="0" applyFont="true" applyBorder="true" applyAlignment="true" applyProtection="true">
      <alignment horizontal="center" vertical="bottom" textRotation="0" wrapText="false" indent="0" shrinkToFit="false"/>
      <protection locked="true" hidden="false"/>
    </xf>
    <xf numFmtId="164" fontId="28" fillId="5" borderId="49" xfId="0" applyFont="true" applyBorder="true" applyAlignment="true" applyProtection="true">
      <alignment horizontal="center" vertical="bottom" textRotation="0" wrapText="false" indent="0" shrinkToFit="false"/>
      <protection locked="true" hidden="false"/>
    </xf>
    <xf numFmtId="173" fontId="28" fillId="5" borderId="6" xfId="0" applyFont="true" applyBorder="true" applyAlignment="true" applyProtection="true">
      <alignment horizontal="center" vertical="bottom" textRotation="0" wrapText="true" indent="0" shrinkToFit="false"/>
      <protection locked="true" hidden="false"/>
    </xf>
    <xf numFmtId="164" fontId="48" fillId="0" borderId="0" xfId="0" applyFont="true" applyBorder="true" applyAlignment="true" applyProtection="true">
      <alignment horizontal="center" vertical="bottom" textRotation="0" wrapText="false" indent="0" shrinkToFit="false"/>
      <protection locked="true" hidden="false"/>
    </xf>
    <xf numFmtId="164" fontId="28" fillId="5" borderId="14" xfId="0" applyFont="true" applyBorder="true" applyAlignment="true" applyProtection="true">
      <alignment horizontal="center" vertical="bottom" textRotation="0" wrapText="false" indent="0" shrinkToFit="false"/>
      <protection locked="true" hidden="false"/>
    </xf>
    <xf numFmtId="164" fontId="17" fillId="5" borderId="6" xfId="0" applyFont="true" applyBorder="true" applyAlignment="true" applyProtection="true">
      <alignment horizontal="center" vertical="bottom" textRotation="0" wrapText="false" indent="0" shrinkToFit="false"/>
      <protection locked="true" hidden="false"/>
    </xf>
    <xf numFmtId="174" fontId="17" fillId="6" borderId="6" xfId="0" applyFont="true" applyBorder="true" applyAlignment="true" applyProtection="true">
      <alignment horizontal="center" vertical="bottom" textRotation="0" wrapText="false" indent="0" shrinkToFit="false"/>
      <protection locked="false" hidden="false"/>
    </xf>
    <xf numFmtId="165" fontId="17" fillId="6" borderId="6" xfId="0" applyFont="true" applyBorder="true" applyAlignment="true" applyProtection="true">
      <alignment horizontal="right" vertical="bottom" textRotation="0" wrapText="false" indent="0" shrinkToFit="false"/>
      <protection locked="false" hidden="false"/>
    </xf>
    <xf numFmtId="165" fontId="17" fillId="5" borderId="6" xfId="0" applyFont="true" applyBorder="true" applyAlignment="true" applyProtection="true">
      <alignment horizontal="center" vertical="bottom" textRotation="0" wrapText="false" indent="0" shrinkToFit="false"/>
      <protection locked="true" hidden="false"/>
    </xf>
    <xf numFmtId="165" fontId="17" fillId="5" borderId="6" xfId="0" applyFont="true" applyBorder="true" applyAlignment="true" applyProtection="true">
      <alignment horizontal="general" vertical="bottom" textRotation="0" wrapText="false" indent="0" shrinkToFit="false"/>
      <protection locked="true" hidden="true"/>
    </xf>
    <xf numFmtId="164" fontId="17" fillId="5" borderId="14" xfId="0" applyFont="true" applyBorder="true" applyAlignment="true" applyProtection="true">
      <alignment horizontal="general" vertical="bottom" textRotation="0" wrapText="false" indent="0" shrinkToFit="false"/>
      <protection locked="true" hidden="true"/>
    </xf>
    <xf numFmtId="165" fontId="17" fillId="6" borderId="17" xfId="0" applyFont="true" applyBorder="true" applyAlignment="true" applyProtection="true">
      <alignment horizontal="right" vertical="bottom" textRotation="0" wrapText="false" indent="0" shrinkToFit="false"/>
      <protection locked="false" hidden="false"/>
    </xf>
    <xf numFmtId="164" fontId="29" fillId="5" borderId="14" xfId="0" applyFont="true" applyBorder="true" applyAlignment="true" applyProtection="true">
      <alignment horizontal="right" vertical="bottom" textRotation="0" wrapText="false" indent="0" shrinkToFit="false"/>
      <protection locked="true" hidden="false"/>
    </xf>
    <xf numFmtId="165" fontId="17" fillId="5" borderId="1" xfId="0" applyFont="true" applyBorder="true" applyAlignment="true" applyProtection="true">
      <alignment horizontal="right" vertical="bottom" textRotation="0" wrapText="false" indent="0" shrinkToFit="false"/>
      <protection locked="true" hidden="false"/>
    </xf>
    <xf numFmtId="164" fontId="29" fillId="5" borderId="0" xfId="0" applyFont="true" applyBorder="true" applyAlignment="true" applyProtection="true">
      <alignment horizontal="general" vertical="bottom" textRotation="0" wrapText="false" indent="0" shrinkToFit="false"/>
      <protection locked="true" hidden="false"/>
    </xf>
    <xf numFmtId="164" fontId="49" fillId="5" borderId="0" xfId="0" applyFont="true" applyBorder="true" applyAlignment="true" applyProtection="true">
      <alignment horizontal="right" vertical="bottom" textRotation="0" wrapText="false" indent="0" shrinkToFit="false"/>
      <protection locked="true" hidden="false"/>
    </xf>
    <xf numFmtId="165" fontId="17" fillId="5" borderId="36" xfId="0" applyFont="true" applyBorder="true" applyAlignment="true" applyProtection="true">
      <alignment horizontal="general" vertical="bottom" textRotation="0" wrapText="false" indent="0" shrinkToFit="false"/>
      <protection locked="true" hidden="true"/>
    </xf>
    <xf numFmtId="164" fontId="40" fillId="5" borderId="0" xfId="0" applyFont="true" applyBorder="false" applyAlignment="true" applyProtection="true">
      <alignment horizontal="general" vertical="bottom" textRotation="0" wrapText="false" indent="0" shrinkToFit="false"/>
      <protection locked="true" hidden="true"/>
    </xf>
    <xf numFmtId="164" fontId="28" fillId="5" borderId="14" xfId="0" applyFont="true" applyBorder="true" applyAlignment="true" applyProtection="true">
      <alignment horizontal="left" vertical="bottom" textRotation="0" wrapText="false" indent="0" shrinkToFit="false"/>
      <protection locked="true" hidden="false"/>
    </xf>
    <xf numFmtId="164" fontId="37" fillId="5" borderId="45" xfId="0" applyFont="true" applyBorder="true" applyAlignment="true" applyProtection="true">
      <alignment horizontal="center" vertical="bottom" textRotation="0" wrapText="false" indent="0" shrinkToFit="false"/>
      <protection locked="true" hidden="false"/>
    </xf>
    <xf numFmtId="164" fontId="17" fillId="5" borderId="14" xfId="0" applyFont="true" applyBorder="true" applyAlignment="true" applyProtection="true">
      <alignment horizontal="general" vertical="bottom" textRotation="0" wrapText="false" indent="0" shrinkToFit="false"/>
      <protection locked="true" hidden="false"/>
    </xf>
    <xf numFmtId="164" fontId="48" fillId="0" borderId="0" xfId="0" applyFont="true" applyBorder="false" applyAlignment="true" applyProtection="true">
      <alignment horizontal="general" vertical="bottom" textRotation="0" wrapText="false" indent="0" shrinkToFit="false"/>
      <protection locked="true" hidden="false"/>
    </xf>
    <xf numFmtId="164" fontId="27" fillId="5" borderId="13" xfId="0" applyFont="true" applyBorder="true" applyAlignment="true" applyProtection="true">
      <alignment horizontal="general" vertical="bottom" textRotation="0" wrapText="false" indent="0" shrinkToFit="false"/>
      <protection locked="true" hidden="false"/>
    </xf>
    <xf numFmtId="164" fontId="48" fillId="5" borderId="0" xfId="0" applyFont="true" applyBorder="true" applyAlignment="true" applyProtection="true">
      <alignment horizontal="general" vertical="bottom" textRotation="0" wrapText="false" indent="0" shrinkToFit="false"/>
      <protection locked="true" hidden="false"/>
    </xf>
    <xf numFmtId="164" fontId="28" fillId="5" borderId="0" xfId="0" applyFont="true" applyBorder="true" applyAlignment="true" applyProtection="true">
      <alignment horizontal="center" vertical="bottom" textRotation="0" wrapText="true" indent="0" shrinkToFit="false"/>
      <protection locked="true" hidden="false"/>
    </xf>
    <xf numFmtId="164" fontId="48" fillId="0" borderId="0" xfId="0" applyFont="true" applyBorder="true" applyAlignment="true" applyProtection="true">
      <alignment horizontal="general" vertical="bottom" textRotation="0" wrapText="false" indent="0" shrinkToFit="false"/>
      <protection locked="true" hidden="false"/>
    </xf>
    <xf numFmtId="164" fontId="28" fillId="5" borderId="0" xfId="0" applyFont="true" applyBorder="true" applyAlignment="true" applyProtection="true">
      <alignment horizontal="general" vertical="bottom" textRotation="0" wrapText="false" indent="0" shrinkToFit="false"/>
      <protection locked="true" hidden="false"/>
    </xf>
    <xf numFmtId="164" fontId="28" fillId="5" borderId="14" xfId="0" applyFont="true" applyBorder="true" applyAlignment="true" applyProtection="true">
      <alignment horizontal="general" vertical="bottom" textRotation="0" wrapText="false" indent="0" shrinkToFit="false"/>
      <protection locked="true" hidden="false"/>
    </xf>
    <xf numFmtId="164" fontId="28" fillId="5" borderId="0" xfId="0" applyFont="true" applyBorder="false" applyAlignment="true" applyProtection="true">
      <alignment horizontal="general" vertical="bottom" textRotation="0" wrapText="false" indent="0" shrinkToFit="false"/>
      <protection locked="true" hidden="true"/>
    </xf>
    <xf numFmtId="164" fontId="28" fillId="5" borderId="0" xfId="0" applyFont="true" applyBorder="false" applyAlignment="true" applyProtection="true">
      <alignment horizontal="general" vertical="bottom" textRotation="0" wrapText="false" indent="0" shrinkToFit="false"/>
      <protection locked="true" hidden="false"/>
    </xf>
    <xf numFmtId="164" fontId="28" fillId="0" borderId="0" xfId="0" applyFont="true" applyBorder="false" applyAlignment="true" applyProtection="true">
      <alignment horizontal="general" vertical="bottom" textRotation="0" wrapText="false" indent="0" shrinkToFit="false"/>
      <protection locked="true" hidden="false"/>
    </xf>
    <xf numFmtId="164" fontId="27" fillId="5" borderId="13" xfId="0" applyFont="true" applyBorder="true" applyAlignment="true" applyProtection="true">
      <alignment horizontal="left" vertical="bottom" textRotation="0" wrapText="false" indent="0" shrinkToFit="false"/>
      <protection locked="true" hidden="false"/>
    </xf>
    <xf numFmtId="175" fontId="0" fillId="5" borderId="1" xfId="0" applyFont="true" applyBorder="true" applyAlignment="true" applyProtection="true">
      <alignment horizontal="center" vertical="center" textRotation="0" wrapText="false" indent="0" shrinkToFit="false"/>
      <protection locked="true" hidden="false"/>
    </xf>
    <xf numFmtId="165" fontId="17" fillId="5" borderId="0" xfId="0" applyFont="true" applyBorder="true" applyAlignment="true" applyProtection="true">
      <alignment horizontal="right" vertical="bottom" textRotation="0" wrapText="false" indent="0" shrinkToFit="false"/>
      <protection locked="true" hidden="false"/>
    </xf>
    <xf numFmtId="164" fontId="0" fillId="5" borderId="5" xfId="0" applyFont="true" applyBorder="true" applyAlignment="true" applyProtection="true">
      <alignment horizontal="center" vertical="center" textRotation="0" wrapText="false" indent="0" shrinkToFit="false"/>
      <protection locked="true" hidden="false"/>
    </xf>
    <xf numFmtId="164" fontId="28" fillId="5" borderId="0" xfId="0" applyFont="true" applyBorder="true" applyAlignment="true" applyProtection="true">
      <alignment horizontal="left" vertical="bottom" textRotation="0" wrapText="false" indent="0" shrinkToFit="false"/>
      <protection locked="true" hidden="false"/>
    </xf>
    <xf numFmtId="164" fontId="28" fillId="5" borderId="14" xfId="0" applyFont="true" applyBorder="true" applyAlignment="true" applyProtection="true">
      <alignment horizontal="left" vertical="bottom" textRotation="0" wrapText="false" indent="0" shrinkToFit="false"/>
      <protection locked="true" hidden="true"/>
    </xf>
    <xf numFmtId="164" fontId="28" fillId="5" borderId="0" xfId="0" applyFont="true" applyBorder="true" applyAlignment="true" applyProtection="true">
      <alignment horizontal="left" vertical="bottom" textRotation="0" wrapText="false" indent="0" shrinkToFit="false"/>
      <protection locked="true" hidden="true"/>
    </xf>
    <xf numFmtId="164" fontId="29" fillId="5" borderId="0" xfId="0" applyFont="true" applyBorder="true" applyAlignment="true" applyProtection="true">
      <alignment horizontal="right" vertical="bottom" textRotation="0" wrapText="false" indent="0" shrinkToFit="false"/>
      <protection locked="true" hidden="false"/>
    </xf>
    <xf numFmtId="165" fontId="17" fillId="5" borderId="1" xfId="0" applyFont="true" applyBorder="true" applyAlignment="true" applyProtection="true">
      <alignment horizontal="general" vertical="bottom" textRotation="0" wrapText="false" indent="0" shrinkToFit="false"/>
      <protection locked="true" hidden="false"/>
    </xf>
    <xf numFmtId="165" fontId="17" fillId="5" borderId="6" xfId="0" applyFont="true" applyBorder="true" applyAlignment="true" applyProtection="true">
      <alignment horizontal="right" vertical="bottom" textRotation="0" wrapText="false" indent="0" shrinkToFit="false"/>
      <protection locked="true" hidden="false"/>
    </xf>
    <xf numFmtId="164" fontId="29" fillId="5" borderId="0" xfId="0" applyFont="true" applyBorder="false" applyAlignment="true" applyProtection="true">
      <alignment horizontal="general" vertical="bottom" textRotation="0" wrapText="false" indent="0" shrinkToFit="false"/>
      <protection locked="true" hidden="true"/>
    </xf>
    <xf numFmtId="164" fontId="29" fillId="5" borderId="0" xfId="0" applyFont="true" applyBorder="true" applyAlignment="true" applyProtection="true">
      <alignment horizontal="left" vertical="bottom" textRotation="0" wrapText="false" indent="0" shrinkToFit="false"/>
      <protection locked="true" hidden="true"/>
    </xf>
    <xf numFmtId="164" fontId="29" fillId="5" borderId="0" xfId="0" applyFont="true" applyBorder="true" applyAlignment="true" applyProtection="true">
      <alignment horizontal="left" vertical="bottom" textRotation="0" wrapText="true" indent="0" shrinkToFit="false"/>
      <protection locked="true" hidden="false"/>
    </xf>
    <xf numFmtId="175" fontId="17" fillId="5" borderId="1" xfId="0" applyFont="true" applyBorder="true" applyAlignment="true" applyProtection="true">
      <alignment horizontal="center" vertical="bottom" textRotation="0" wrapText="false" indent="0" shrinkToFit="false"/>
      <protection locked="true" hidden="false"/>
    </xf>
    <xf numFmtId="164" fontId="17" fillId="5" borderId="5" xfId="0" applyFont="true" applyBorder="true" applyAlignment="true" applyProtection="true">
      <alignment horizontal="center" vertical="bottom" textRotation="0" wrapText="false" indent="0" shrinkToFit="false"/>
      <protection locked="true" hidden="false"/>
    </xf>
    <xf numFmtId="164" fontId="29" fillId="5" borderId="0" xfId="0" applyFont="true" applyBorder="false" applyAlignment="true" applyProtection="true">
      <alignment horizontal="general" vertical="bottom" textRotation="0" wrapText="false" indent="0" shrinkToFit="false"/>
      <protection locked="true" hidden="false"/>
    </xf>
    <xf numFmtId="164" fontId="8" fillId="6" borderId="1" xfId="0" applyFont="true" applyBorder="true" applyAlignment="true" applyProtection="true">
      <alignment horizontal="general" vertical="center" textRotation="0" wrapText="false" indent="0" shrinkToFit="false"/>
      <protection locked="false" hidden="false"/>
    </xf>
    <xf numFmtId="164" fontId="29" fillId="5" borderId="0" xfId="0" applyFont="true" applyBorder="false" applyAlignment="true" applyProtection="true">
      <alignment horizontal="left" vertical="bottom" textRotation="0" wrapText="false" indent="0" shrinkToFit="false"/>
      <protection locked="true" hidden="true"/>
    </xf>
    <xf numFmtId="164" fontId="29" fillId="5" borderId="0" xfId="0" applyFont="true" applyBorder="false" applyAlignment="true" applyProtection="true">
      <alignment horizontal="left" vertical="bottom" textRotation="0" wrapText="false" indent="0" shrinkToFit="false"/>
      <protection locked="true" hidden="false"/>
    </xf>
    <xf numFmtId="164" fontId="8" fillId="5" borderId="13" xfId="0" applyFont="true" applyBorder="true" applyAlignment="true" applyProtection="true">
      <alignment horizontal="general" vertical="center" textRotation="0" wrapText="false" indent="0" shrinkToFit="false"/>
      <protection locked="true" hidden="false"/>
    </xf>
    <xf numFmtId="164" fontId="28" fillId="5" borderId="14" xfId="0" applyFont="true" applyBorder="true" applyAlignment="true" applyProtection="true">
      <alignment horizontal="general" vertical="bottom" textRotation="0" wrapText="false" indent="0" shrinkToFit="false"/>
      <protection locked="true" hidden="true"/>
    </xf>
    <xf numFmtId="164" fontId="28" fillId="2" borderId="0" xfId="0" applyFont="true" applyBorder="true" applyAlignment="true" applyProtection="true">
      <alignment horizontal="center" vertical="bottom" textRotation="0" wrapText="true" indent="0" shrinkToFit="false"/>
      <protection locked="true" hidden="false"/>
    </xf>
    <xf numFmtId="164" fontId="28" fillId="5" borderId="0" xfId="0" applyFont="true" applyBorder="false" applyAlignment="true" applyProtection="true">
      <alignment horizontal="center" vertical="bottom" textRotation="0" wrapText="true" indent="0" shrinkToFit="false"/>
      <protection locked="true" hidden="true"/>
    </xf>
    <xf numFmtId="164" fontId="17" fillId="2" borderId="0" xfId="0" applyFont="true" applyBorder="true" applyAlignment="true" applyProtection="true">
      <alignment horizontal="center" vertical="bottom" textRotation="0" wrapText="false" indent="0" shrinkToFit="false"/>
      <protection locked="true" hidden="false"/>
    </xf>
    <xf numFmtId="164" fontId="17" fillId="5" borderId="14" xfId="0" applyFont="true" applyBorder="true" applyAlignment="true" applyProtection="true">
      <alignment horizontal="center" vertical="bottom" textRotation="0" wrapText="false" indent="0" shrinkToFit="false"/>
      <protection locked="true" hidden="false"/>
    </xf>
    <xf numFmtId="176" fontId="17" fillId="5" borderId="0" xfId="0" applyFont="true" applyBorder="false" applyAlignment="true" applyProtection="true">
      <alignment horizontal="general" vertical="bottom" textRotation="0" wrapText="false" indent="0" shrinkToFit="false"/>
      <protection locked="true" hidden="true"/>
    </xf>
    <xf numFmtId="173" fontId="17" fillId="2" borderId="0" xfId="0" applyFont="true" applyBorder="true" applyAlignment="true" applyProtection="true">
      <alignment horizontal="center" vertical="bottom" textRotation="0" wrapText="false" indent="0" shrinkToFit="false"/>
      <protection locked="true" hidden="false"/>
    </xf>
    <xf numFmtId="173" fontId="17" fillId="5" borderId="0" xfId="0" applyFont="true" applyBorder="true" applyAlignment="true" applyProtection="true">
      <alignment horizontal="center" vertical="bottom" textRotation="0" wrapText="false" indent="0" shrinkToFit="false"/>
      <protection locked="true" hidden="false"/>
    </xf>
    <xf numFmtId="167" fontId="17" fillId="5" borderId="14" xfId="0" applyFont="true" applyBorder="true" applyAlignment="true" applyProtection="true">
      <alignment horizontal="center" vertical="bottom" textRotation="0" wrapText="false" indent="0" shrinkToFit="false"/>
      <protection locked="true" hidden="false"/>
    </xf>
    <xf numFmtId="164" fontId="17" fillId="5" borderId="0" xfId="0" applyFont="true" applyBorder="true" applyAlignment="true" applyProtection="true">
      <alignment horizontal="center" vertical="bottom" textRotation="0" wrapText="false" indent="0" shrinkToFit="false"/>
      <protection locked="true" hidden="true"/>
    </xf>
    <xf numFmtId="164" fontId="37" fillId="5" borderId="9" xfId="0" applyFont="true" applyBorder="true" applyAlignment="true" applyProtection="true">
      <alignment horizontal="general" vertical="bottom" textRotation="0" wrapText="false" indent="0" shrinkToFit="false"/>
      <protection locked="true" hidden="false"/>
    </xf>
    <xf numFmtId="164" fontId="17" fillId="5" borderId="15" xfId="0" applyFont="true" applyBorder="true" applyAlignment="true" applyProtection="true">
      <alignment horizontal="center" vertical="bottom" textRotation="0" wrapText="false" indent="0" shrinkToFit="false"/>
      <protection locked="true" hidden="false"/>
    </xf>
    <xf numFmtId="164" fontId="38" fillId="5" borderId="15" xfId="0" applyFont="true" applyBorder="true" applyAlignment="true" applyProtection="true">
      <alignment horizontal="right" vertical="bottom" textRotation="0" wrapText="false" indent="0" shrinkToFit="false"/>
      <protection locked="true" hidden="false"/>
    </xf>
    <xf numFmtId="177" fontId="37" fillId="5" borderId="36" xfId="0" applyFont="true" applyBorder="true" applyAlignment="true" applyProtection="true">
      <alignment horizontal="center" vertical="bottom" textRotation="0" wrapText="false" indent="0" shrinkToFit="false"/>
      <protection locked="true" hidden="true"/>
    </xf>
    <xf numFmtId="164" fontId="17"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17" fillId="5" borderId="7" xfId="0" applyFont="true" applyBorder="true" applyAlignment="true" applyProtection="true">
      <alignment horizontal="center" vertical="bottom" textRotation="0" wrapText="false" indent="0" shrinkToFit="false"/>
      <protection locked="true" hidden="false"/>
    </xf>
    <xf numFmtId="164" fontId="22" fillId="5" borderId="8" xfId="0" applyFont="true" applyBorder="true" applyAlignment="true" applyProtection="true">
      <alignment horizontal="center" vertical="bottom" textRotation="0" wrapText="false" indent="0" shrinkToFit="false"/>
      <protection locked="true" hidden="false"/>
    </xf>
    <xf numFmtId="164" fontId="17" fillId="5" borderId="0" xfId="0" applyFont="true" applyBorder="true" applyAlignment="true" applyProtection="true">
      <alignment horizontal="center" vertical="center" textRotation="0" wrapText="false" indent="0" shrinkToFit="false"/>
      <protection locked="true" hidden="false"/>
    </xf>
    <xf numFmtId="169" fontId="23" fillId="5" borderId="36" xfId="0" applyFont="true" applyBorder="true" applyAlignment="true" applyProtection="true">
      <alignment horizontal="center" vertical="bottom" textRotation="0" wrapText="false" indent="0" shrinkToFit="false"/>
      <protection locked="true" hidden="false"/>
    </xf>
    <xf numFmtId="164" fontId="25" fillId="5" borderId="0" xfId="0" applyFont="true" applyBorder="false" applyAlignment="true" applyProtection="true">
      <alignment horizontal="general" vertical="bottom" textRotation="0" wrapText="false" indent="0" shrinkToFit="false"/>
      <protection locked="true" hidden="true"/>
    </xf>
    <xf numFmtId="164" fontId="47" fillId="5" borderId="0" xfId="0" applyFont="true" applyBorder="true" applyAlignment="true" applyProtection="true">
      <alignment horizontal="center" vertical="bottom" textRotation="0" wrapText="false" indent="0" shrinkToFit="false"/>
      <protection locked="true" hidden="true"/>
    </xf>
    <xf numFmtId="169" fontId="45" fillId="5" borderId="0" xfId="0" applyFont="true" applyBorder="true" applyAlignment="true" applyProtection="true">
      <alignment horizontal="center" vertical="bottom" textRotation="0" wrapText="false" indent="0" shrinkToFit="false"/>
      <protection locked="true" hidden="false"/>
    </xf>
    <xf numFmtId="164" fontId="22" fillId="5" borderId="1" xfId="0" applyFont="true" applyBorder="true" applyAlignment="true" applyProtection="true">
      <alignment horizontal="left" vertical="bottom" textRotation="0" wrapText="false" indent="0" shrinkToFit="false"/>
      <protection locked="false" hidden="false"/>
    </xf>
    <xf numFmtId="169" fontId="45" fillId="5" borderId="0" xfId="0" applyFont="true" applyBorder="true" applyAlignment="true" applyProtection="true">
      <alignment horizontal="right" vertical="bottom" textRotation="0" wrapText="false" indent="0" shrinkToFit="false"/>
      <protection locked="true" hidden="false"/>
    </xf>
    <xf numFmtId="164" fontId="22" fillId="5" borderId="1" xfId="0" applyFont="true" applyBorder="true" applyAlignment="true" applyProtection="true">
      <alignment horizontal="center" vertical="bottom" textRotation="0" wrapText="false" indent="0" shrinkToFit="false"/>
      <protection locked="false" hidden="false"/>
    </xf>
    <xf numFmtId="169" fontId="7" fillId="0" borderId="0" xfId="0" applyFont="true" applyBorder="true" applyAlignment="true" applyProtection="true">
      <alignment horizontal="general" vertical="bottom" textRotation="0" wrapText="false" indent="0" shrinkToFit="false"/>
      <protection locked="true" hidden="false"/>
    </xf>
    <xf numFmtId="169" fontId="26" fillId="6" borderId="1" xfId="0" applyFont="true" applyBorder="true" applyAlignment="true" applyProtection="true">
      <alignment horizontal="center" vertical="bottom" textRotation="0" wrapText="false" indent="0" shrinkToFit="false"/>
      <protection locked="false" hidden="false"/>
    </xf>
    <xf numFmtId="169" fontId="23" fillId="5" borderId="0" xfId="0" applyFont="true" applyBorder="true" applyAlignment="true" applyProtection="true">
      <alignment horizontal="center" vertical="bottom" textRotation="0" wrapText="false" indent="0" shrinkToFit="false"/>
      <protection locked="true" hidden="false"/>
    </xf>
    <xf numFmtId="169" fontId="45" fillId="5" borderId="0" xfId="0" applyFont="true" applyBorder="true" applyAlignment="true" applyProtection="true">
      <alignment horizontal="left" vertical="bottom" textRotation="0" wrapText="false" indent="0" shrinkToFit="false"/>
      <protection locked="true" hidden="false"/>
    </xf>
    <xf numFmtId="169" fontId="22" fillId="5" borderId="0" xfId="0" applyFont="true" applyBorder="true" applyAlignment="true" applyProtection="true">
      <alignment horizontal="center" vertical="bottom" textRotation="0" wrapText="false" indent="0" shrinkToFit="false"/>
      <protection locked="true" hidden="false"/>
    </xf>
    <xf numFmtId="169" fontId="26" fillId="5" borderId="0" xfId="0" applyFont="true" applyBorder="true" applyAlignment="true" applyProtection="true">
      <alignment horizontal="center" vertical="bottom" textRotation="0" wrapText="false" indent="0" shrinkToFit="false"/>
      <protection locked="true" hidden="false"/>
    </xf>
    <xf numFmtId="169" fontId="17" fillId="5" borderId="1" xfId="0" applyFont="true" applyBorder="true" applyAlignment="true" applyProtection="true">
      <alignment horizontal="center" vertical="bottom" textRotation="0" wrapText="false" indent="0" shrinkToFit="false"/>
      <protection locked="true" hidden="false"/>
    </xf>
    <xf numFmtId="169" fontId="17" fillId="5" borderId="13" xfId="0" applyFont="true" applyBorder="true" applyAlignment="true" applyProtection="true">
      <alignment horizontal="center" vertical="bottom" textRotation="0" wrapText="false" indent="0" shrinkToFit="false"/>
      <protection locked="true" hidden="false"/>
    </xf>
    <xf numFmtId="169" fontId="17" fillId="5" borderId="0" xfId="0" applyFont="true" applyBorder="true" applyAlignment="true" applyProtection="true">
      <alignment horizontal="center" vertical="bottom" textRotation="0" wrapText="false" indent="0" shrinkToFit="false"/>
      <protection locked="true" hidden="false"/>
    </xf>
    <xf numFmtId="169" fontId="17" fillId="5" borderId="12" xfId="0" applyFont="true" applyBorder="true" applyAlignment="true" applyProtection="true">
      <alignment horizontal="general" vertical="bottom" textRotation="0" wrapText="false" indent="0" shrinkToFit="false"/>
      <protection locked="true" hidden="false"/>
    </xf>
    <xf numFmtId="169" fontId="37" fillId="5" borderId="0" xfId="0" applyFont="true" applyBorder="true" applyAlignment="true" applyProtection="true">
      <alignment horizontal="left" vertical="bottom" textRotation="0" wrapText="false" indent="0" shrinkToFit="false"/>
      <protection locked="true" hidden="false"/>
    </xf>
    <xf numFmtId="169" fontId="17" fillId="6" borderId="36" xfId="0" applyFont="true" applyBorder="true" applyAlignment="true" applyProtection="true">
      <alignment horizontal="right" vertical="bottom" textRotation="0" wrapText="false" indent="0" shrinkToFit="false"/>
      <protection locked="false" hidden="false"/>
    </xf>
    <xf numFmtId="169" fontId="17" fillId="5" borderId="14" xfId="0" applyFont="true" applyBorder="true" applyAlignment="true" applyProtection="true">
      <alignment horizontal="right" vertical="bottom" textRotation="0" wrapText="false" indent="0" shrinkToFit="false"/>
      <protection locked="true" hidden="false"/>
    </xf>
    <xf numFmtId="169" fontId="17" fillId="5" borderId="0" xfId="0" applyFont="true" applyBorder="true" applyAlignment="true" applyProtection="true">
      <alignment horizontal="right" vertical="bottom" textRotation="0" wrapText="false" indent="0" shrinkToFit="false"/>
      <protection locked="true" hidden="false"/>
    </xf>
    <xf numFmtId="169" fontId="17" fillId="5" borderId="14" xfId="0" applyFont="true" applyBorder="true" applyAlignment="true" applyProtection="true">
      <alignment horizontal="general" vertical="bottom" textRotation="0" wrapText="false" indent="0" shrinkToFit="false"/>
      <protection locked="true" hidden="false"/>
    </xf>
    <xf numFmtId="169" fontId="17" fillId="5" borderId="0" xfId="0" applyFont="true" applyBorder="true" applyAlignment="true" applyProtection="true">
      <alignment horizontal="left" vertical="bottom" textRotation="0" wrapText="true" indent="0" shrinkToFit="false"/>
      <protection locked="true" hidden="false"/>
    </xf>
    <xf numFmtId="169" fontId="17" fillId="5" borderId="16" xfId="0" applyFont="true" applyBorder="true" applyAlignment="true" applyProtection="true">
      <alignment horizontal="general" vertical="bottom" textRotation="0" wrapText="false" indent="0" shrinkToFit="false"/>
      <protection locked="true" hidden="false"/>
    </xf>
    <xf numFmtId="169" fontId="17" fillId="5" borderId="13" xfId="0" applyFont="true" applyBorder="true" applyAlignment="true" applyProtection="true">
      <alignment horizontal="center" vertical="top" textRotation="0" wrapText="false" indent="0" shrinkToFit="false"/>
      <protection locked="true" hidden="false"/>
    </xf>
    <xf numFmtId="169" fontId="17" fillId="6" borderId="1" xfId="0" applyFont="true" applyBorder="true" applyAlignment="true" applyProtection="true">
      <alignment horizontal="right" vertical="bottom" textRotation="0" wrapText="false" indent="0" shrinkToFit="false"/>
      <protection locked="false" hidden="false"/>
    </xf>
    <xf numFmtId="169" fontId="17" fillId="5" borderId="3" xfId="0" applyFont="true" applyBorder="true" applyAlignment="true" applyProtection="true">
      <alignment horizontal="right" vertical="bottom" textRotation="0" wrapText="false" indent="0" shrinkToFit="false"/>
      <protection locked="true" hidden="false"/>
    </xf>
    <xf numFmtId="169" fontId="17" fillId="5" borderId="4" xfId="0" applyFont="true" applyBorder="true" applyAlignment="true" applyProtection="true">
      <alignment horizontal="right" vertical="bottom" textRotation="0" wrapText="false" indent="0" shrinkToFit="false"/>
      <protection locked="true" hidden="false"/>
    </xf>
    <xf numFmtId="169" fontId="17" fillId="0" borderId="0" xfId="0" applyFont="true" applyBorder="true" applyAlignment="true" applyProtection="true">
      <alignment horizontal="right" vertical="bottom" textRotation="0" wrapText="false" indent="0" shrinkToFit="false"/>
      <protection locked="true" hidden="false"/>
    </xf>
    <xf numFmtId="169" fontId="17" fillId="5" borderId="44" xfId="0" applyFont="true" applyBorder="true" applyAlignment="true" applyProtection="true">
      <alignment horizontal="right" vertical="bottom" textRotation="0" wrapText="false" indent="0" shrinkToFit="false"/>
      <protection locked="true" hidden="false"/>
    </xf>
    <xf numFmtId="169" fontId="17" fillId="5" borderId="45" xfId="0" applyFont="true" applyBorder="true" applyAlignment="true" applyProtection="true">
      <alignment horizontal="right" vertical="bottom" textRotation="0" wrapText="false" indent="0" shrinkToFit="false"/>
      <protection locked="true" hidden="false"/>
    </xf>
    <xf numFmtId="171" fontId="17" fillId="5" borderId="14" xfId="0" applyFont="true" applyBorder="true" applyAlignment="true" applyProtection="true">
      <alignment horizontal="general" vertical="bottom" textRotation="0" wrapText="false" indent="0" shrinkToFit="false"/>
      <protection locked="true" hidden="false"/>
    </xf>
    <xf numFmtId="173" fontId="17" fillId="0" borderId="0" xfId="0" applyFont="true" applyBorder="true" applyAlignment="true" applyProtection="true">
      <alignment horizontal="center" vertical="center" textRotation="0" wrapText="false" indent="0" shrinkToFit="false"/>
      <protection locked="true" hidden="false"/>
    </xf>
    <xf numFmtId="165" fontId="0" fillId="5" borderId="0" xfId="0" applyFont="false" applyBorder="false" applyAlignment="true" applyProtection="true">
      <alignment horizontal="general" vertical="bottom" textRotation="0" wrapText="false" indent="0" shrinkToFit="false"/>
      <protection locked="true" hidden="true"/>
    </xf>
    <xf numFmtId="171" fontId="17" fillId="5" borderId="50" xfId="0" applyFont="true" applyBorder="true" applyAlignment="true" applyProtection="true">
      <alignment horizontal="general" vertical="bottom" textRotation="0" wrapText="false" indent="0" shrinkToFit="false"/>
      <protection locked="true" hidden="false"/>
    </xf>
    <xf numFmtId="169" fontId="37" fillId="5" borderId="15" xfId="0" applyFont="true" applyBorder="true" applyAlignment="true" applyProtection="true">
      <alignment horizontal="general" vertical="bottom" textRotation="0" wrapText="false" indent="0" shrinkToFit="false"/>
      <protection locked="true" hidden="false"/>
    </xf>
    <xf numFmtId="169" fontId="17" fillId="5" borderId="15" xfId="0" applyFont="true" applyBorder="true" applyAlignment="true" applyProtection="true">
      <alignment horizontal="general" vertical="bottom" textRotation="0" wrapText="false" indent="0" shrinkToFit="false"/>
      <protection locked="true" hidden="false"/>
    </xf>
    <xf numFmtId="169" fontId="17" fillId="5" borderId="51" xfId="0" applyFont="true" applyBorder="true" applyAlignment="true" applyProtection="true">
      <alignment horizontal="center" vertical="bottom" textRotation="0" wrapText="false" indent="0" shrinkToFit="false"/>
      <protection locked="true" hidden="false"/>
    </xf>
    <xf numFmtId="164" fontId="17" fillId="5" borderId="1" xfId="0" applyFont="true" applyBorder="true" applyAlignment="true" applyProtection="true">
      <alignment horizontal="center" vertical="bottom" textRotation="0" wrapText="false" indent="0" shrinkToFit="false"/>
      <protection locked="true" hidden="false"/>
    </xf>
    <xf numFmtId="167" fontId="50" fillId="0" borderId="0" xfId="0" applyFont="true" applyBorder="false" applyAlignment="true" applyProtection="true">
      <alignment horizontal="general" vertical="bottom" textRotation="0" wrapText="false" indent="0" shrinkToFit="false"/>
      <protection locked="true" hidden="true"/>
    </xf>
    <xf numFmtId="167" fontId="17" fillId="5" borderId="0" xfId="0" applyFont="true" applyBorder="true" applyAlignment="true" applyProtection="true">
      <alignment horizontal="right" vertical="bottom" textRotation="0" wrapText="false" indent="0" shrinkToFit="false"/>
      <protection locked="true" hidden="false"/>
    </xf>
    <xf numFmtId="167" fontId="17" fillId="5" borderId="0" xfId="0" applyFont="true" applyBorder="true" applyAlignment="true" applyProtection="true">
      <alignment horizontal="left" vertical="bottom" textRotation="0" wrapText="false" indent="0" shrinkToFit="false"/>
      <protection locked="true" hidden="false"/>
    </xf>
    <xf numFmtId="167" fontId="17" fillId="5" borderId="0" xfId="0" applyFont="true" applyBorder="false" applyAlignment="true" applyProtection="true">
      <alignment horizontal="right" vertical="bottom" textRotation="0" wrapText="false" indent="0" shrinkToFit="false"/>
      <protection locked="true" hidden="true"/>
    </xf>
    <xf numFmtId="167"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17" fillId="5" borderId="0" xfId="0" applyFont="true" applyBorder="false" applyAlignment="true" applyProtection="true">
      <alignment horizontal="right" vertical="bottom" textRotation="0" wrapText="false" indent="0" shrinkToFit="false"/>
      <protection locked="true" hidden="true"/>
    </xf>
    <xf numFmtId="167" fontId="17" fillId="5" borderId="0" xfId="0" applyFont="true" applyBorder="true" applyAlignment="true" applyProtection="true">
      <alignment horizontal="center" vertical="bottom" textRotation="0" wrapText="false" indent="0" shrinkToFit="false"/>
      <protection locked="true" hidden="false"/>
    </xf>
    <xf numFmtId="164" fontId="17" fillId="6" borderId="1" xfId="0" applyFont="true" applyBorder="true" applyAlignment="true" applyProtection="true">
      <alignment horizontal="center" vertical="bottom" textRotation="0" wrapText="false" indent="0" shrinkToFit="false"/>
      <protection locked="false" hidden="false"/>
    </xf>
    <xf numFmtId="167" fontId="17" fillId="5" borderId="0" xfId="0" applyFont="true" applyBorder="false" applyAlignment="true" applyProtection="true">
      <alignment horizontal="general" vertical="bottom" textRotation="0" wrapText="false" indent="0" shrinkToFit="false"/>
      <protection locked="true" hidden="false"/>
    </xf>
    <xf numFmtId="167" fontId="17" fillId="5" borderId="36" xfId="0" applyFont="true" applyBorder="true" applyAlignment="true" applyProtection="true">
      <alignment horizontal="center" vertical="bottom" textRotation="0" wrapText="false" indent="0" shrinkToFit="false"/>
      <protection locked="true" hidden="false"/>
    </xf>
    <xf numFmtId="169" fontId="17" fillId="5" borderId="1" xfId="0" applyFont="true" applyBorder="true" applyAlignment="true" applyProtection="true">
      <alignment horizontal="right" vertical="bottom" textRotation="0" wrapText="false" indent="0" shrinkToFit="false"/>
      <protection locked="true" hidden="false"/>
    </xf>
    <xf numFmtId="167" fontId="17" fillId="5" borderId="1" xfId="0" applyFont="true" applyBorder="true" applyAlignment="true" applyProtection="true">
      <alignment horizontal="right" vertical="bottom" textRotation="0" wrapText="false" indent="0" shrinkToFit="false"/>
      <protection locked="true" hidden="false"/>
    </xf>
    <xf numFmtId="164" fontId="17" fillId="5" borderId="9" xfId="0" applyFont="true" applyBorder="true" applyAlignment="true" applyProtection="true">
      <alignment horizontal="center" vertical="bottom" textRotation="0" wrapText="false" indent="0" shrinkToFit="false"/>
      <protection locked="true" hidden="false"/>
    </xf>
    <xf numFmtId="169" fontId="17" fillId="5" borderId="36" xfId="0" applyFont="true" applyBorder="true" applyAlignment="true" applyProtection="true">
      <alignment horizontal="right" vertical="bottom" textRotation="0" wrapText="false" indent="0" shrinkToFit="false"/>
      <protection locked="true" hidden="false"/>
    </xf>
    <xf numFmtId="169" fontId="23" fillId="2" borderId="13" xfId="0" applyFont="true" applyBorder="true" applyAlignment="true" applyProtection="true">
      <alignment horizontal="center" vertical="bottom" textRotation="0" wrapText="false" indent="0" shrinkToFit="false"/>
      <protection locked="true" hidden="false"/>
    </xf>
    <xf numFmtId="169" fontId="26" fillId="2" borderId="0" xfId="0" applyFont="true" applyBorder="true" applyAlignment="true" applyProtection="true">
      <alignment horizontal="center" vertical="bottom" textRotation="0" wrapText="false" indent="0" shrinkToFit="false"/>
      <protection locked="true" hidden="false"/>
    </xf>
    <xf numFmtId="169" fontId="23" fillId="2" borderId="14" xfId="0" applyFont="true" applyBorder="true" applyAlignment="true" applyProtection="true">
      <alignment horizontal="general" vertical="bottom" textRotation="0" wrapText="false" indent="0" shrinkToFit="false"/>
      <protection locked="true" hidden="false"/>
    </xf>
    <xf numFmtId="164" fontId="17" fillId="5" borderId="0" xfId="0" applyFont="true" applyBorder="true" applyAlignment="true" applyProtection="true">
      <alignment horizontal="general" vertical="bottom" textRotation="0" wrapText="false" indent="0" shrinkToFit="false"/>
      <protection locked="false" hidden="false"/>
    </xf>
    <xf numFmtId="164" fontId="17" fillId="5" borderId="0" xfId="0" applyFont="true" applyBorder="true" applyAlignment="true" applyProtection="true">
      <alignment horizontal="center" vertical="bottom" textRotation="0" wrapText="false" indent="0" shrinkToFit="false"/>
      <protection locked="false" hidden="false"/>
    </xf>
    <xf numFmtId="169" fontId="26" fillId="5" borderId="14" xfId="0" applyFont="true" applyBorder="true" applyAlignment="true" applyProtection="true">
      <alignment horizontal="center" vertical="bottom" textRotation="0" wrapText="false" indent="0" shrinkToFit="false"/>
      <protection locked="true" hidden="false"/>
    </xf>
    <xf numFmtId="164" fontId="23" fillId="5" borderId="36" xfId="0" applyFont="true" applyBorder="true" applyAlignment="true" applyProtection="true">
      <alignment horizontal="center" vertical="bottom" textRotation="0" wrapText="true" indent="0" shrinkToFit="false"/>
      <protection locked="true" hidden="false"/>
    </xf>
    <xf numFmtId="164" fontId="23" fillId="5" borderId="0" xfId="0" applyFont="true" applyBorder="false" applyAlignment="true" applyProtection="true">
      <alignment horizontal="center" vertical="bottom" textRotation="0" wrapText="false" indent="0" shrinkToFit="false"/>
      <protection locked="true" hidden="false"/>
    </xf>
    <xf numFmtId="164" fontId="23" fillId="5" borderId="0" xfId="0" applyFont="true" applyBorder="false" applyAlignment="true" applyProtection="true">
      <alignment horizontal="general" vertical="bottom" textRotation="0" wrapText="false" indent="0" shrinkToFit="false"/>
      <protection locked="true" hidden="false"/>
    </xf>
    <xf numFmtId="164" fontId="45" fillId="5" borderId="0" xfId="0" applyFont="true" applyBorder="true" applyAlignment="true" applyProtection="true">
      <alignment horizontal="left" vertical="bottom" textRotation="0" wrapText="false" indent="0" shrinkToFit="false"/>
      <protection locked="true" hidden="false"/>
    </xf>
    <xf numFmtId="164" fontId="45" fillId="5" borderId="0" xfId="0" applyFont="true" applyBorder="true" applyAlignment="true" applyProtection="true">
      <alignment horizontal="right" vertical="bottom" textRotation="0" wrapText="false" indent="0" shrinkToFit="false"/>
      <protection locked="true" hidden="false"/>
    </xf>
    <xf numFmtId="164" fontId="17" fillId="5" borderId="0" xfId="0" applyFont="true" applyBorder="true" applyAlignment="true" applyProtection="true">
      <alignment horizontal="general" vertical="bottom" textRotation="0" wrapText="false" indent="0" shrinkToFit="false"/>
      <protection locked="true" hidden="true"/>
    </xf>
    <xf numFmtId="169" fontId="17" fillId="5" borderId="1" xfId="0" applyFont="true" applyBorder="true" applyAlignment="true" applyProtection="true">
      <alignment horizontal="right" vertical="bottom" textRotation="0" wrapText="false" indent="0" shrinkToFit="false"/>
      <protection locked="true" hidden="true"/>
    </xf>
    <xf numFmtId="164" fontId="38" fillId="5" borderId="0" xfId="0" applyFont="true" applyBorder="false" applyAlignment="true" applyProtection="true">
      <alignment horizontal="general" vertical="bottom" textRotation="0" wrapText="false" indent="0" shrinkToFit="false"/>
      <protection locked="true" hidden="false"/>
    </xf>
    <xf numFmtId="164" fontId="37" fillId="5" borderId="15" xfId="0" applyFont="true" applyBorder="true" applyAlignment="true" applyProtection="true">
      <alignment horizontal="general" vertical="bottom" textRotation="0" wrapText="false" indent="0" shrinkToFit="false"/>
      <protection locked="true" hidden="false"/>
    </xf>
    <xf numFmtId="164" fontId="17" fillId="5" borderId="51" xfId="0" applyFont="true" applyBorder="true" applyAlignment="true" applyProtection="true">
      <alignment horizontal="center" vertical="bottom" textRotation="0" wrapText="false" indent="0" shrinkToFit="false"/>
      <protection locked="true" hidden="false"/>
    </xf>
    <xf numFmtId="169" fontId="17" fillId="5" borderId="36" xfId="0" applyFont="true" applyBorder="true" applyAlignment="true" applyProtection="true">
      <alignment horizontal="right" vertical="bottom" textRotation="0" wrapText="false" indent="0" shrinkToFit="false"/>
      <protection locked="true" hidden="true"/>
    </xf>
    <xf numFmtId="168" fontId="17" fillId="5" borderId="1" xfId="0" applyFont="true" applyBorder="true" applyAlignment="true" applyProtection="true">
      <alignment horizontal="right" vertical="bottom" textRotation="0" wrapText="false" indent="0" shrinkToFit="false"/>
      <protection locked="true" hidden="false"/>
    </xf>
    <xf numFmtId="168" fontId="17" fillId="5" borderId="1" xfId="0" applyFont="true" applyBorder="true" applyAlignment="true" applyProtection="true">
      <alignment horizontal="right" vertical="bottom" textRotation="0" wrapText="false" indent="0" shrinkToFit="false"/>
      <protection locked="true" hidden="true"/>
    </xf>
    <xf numFmtId="164" fontId="17" fillId="5" borderId="0" xfId="0" applyFont="true" applyBorder="false" applyAlignment="true" applyProtection="true">
      <alignment horizontal="general" vertical="top" textRotation="0" wrapText="false" indent="0" shrinkToFit="false"/>
      <protection locked="true" hidden="false"/>
    </xf>
    <xf numFmtId="164" fontId="17" fillId="5" borderId="0" xfId="0" applyFont="true" applyBorder="false" applyAlignment="true" applyProtection="true">
      <alignment horizontal="center" vertical="top" textRotation="0" wrapText="false" indent="0" shrinkToFit="false"/>
      <protection locked="true" hidden="false"/>
    </xf>
    <xf numFmtId="164" fontId="38" fillId="5" borderId="0" xfId="0" applyFont="true" applyBorder="false" applyAlignment="true" applyProtection="true">
      <alignment horizontal="center" vertical="top" textRotation="0" wrapText="false" indent="0" shrinkToFit="false"/>
      <protection locked="true" hidden="false"/>
    </xf>
    <xf numFmtId="164" fontId="22" fillId="5" borderId="11" xfId="0" applyFont="true" applyBorder="true" applyAlignment="true" applyProtection="true">
      <alignment horizontal="center" vertical="bottom" textRotation="0" wrapText="false" indent="0" shrinkToFit="false"/>
      <protection locked="true" hidden="false"/>
    </xf>
    <xf numFmtId="164" fontId="23" fillId="5" borderId="36" xfId="0" applyFont="true" applyBorder="true" applyAlignment="true" applyProtection="true">
      <alignment horizontal="center" vertical="top" textRotation="0" wrapText="false" indent="0" shrinkToFit="false"/>
      <protection locked="true" hidden="false"/>
    </xf>
    <xf numFmtId="164" fontId="45" fillId="5" borderId="0" xfId="0" applyFont="true" applyBorder="true" applyAlignment="true" applyProtection="true">
      <alignment horizontal="center" vertical="bottom" textRotation="0" wrapText="false" indent="0" shrinkToFit="false"/>
      <protection locked="true" hidden="false"/>
    </xf>
    <xf numFmtId="164" fontId="45" fillId="0" borderId="0" xfId="0" applyFont="true" applyBorder="false" applyAlignment="true" applyProtection="true">
      <alignment horizontal="right" vertical="bottom" textRotation="0" wrapText="false" indent="0" shrinkToFit="false"/>
      <protection locked="true" hidden="false"/>
    </xf>
    <xf numFmtId="164" fontId="38" fillId="0" borderId="0" xfId="0" applyFont="true" applyBorder="false" applyAlignment="true" applyProtection="true">
      <alignment horizontal="right" vertical="bottom" textRotation="0" wrapText="false" indent="0" shrinkToFit="false"/>
      <protection locked="true" hidden="false"/>
    </xf>
    <xf numFmtId="164" fontId="26" fillId="0" borderId="1" xfId="0" applyFont="true" applyBorder="true" applyAlignment="true" applyProtection="true">
      <alignment horizontal="center" vertical="bottom" textRotation="0" wrapText="false" indent="0" shrinkToFit="false"/>
      <protection locked="true" hidden="false"/>
    </xf>
    <xf numFmtId="169" fontId="45" fillId="5" borderId="1" xfId="0" applyFont="true" applyBorder="true" applyAlignment="true" applyProtection="true">
      <alignment horizontal="general" vertical="center" textRotation="0" wrapText="false" indent="0" shrinkToFit="false"/>
      <protection locked="true" hidden="true"/>
    </xf>
    <xf numFmtId="169" fontId="45" fillId="5" borderId="0" xfId="0" applyFont="true" applyBorder="true" applyAlignment="true" applyProtection="true">
      <alignment horizontal="general" vertical="center" textRotation="0" wrapText="false" indent="0" shrinkToFit="false"/>
      <protection locked="true" hidden="true"/>
    </xf>
    <xf numFmtId="171" fontId="45" fillId="5" borderId="0" xfId="0" applyFont="true" applyBorder="false" applyAlignment="true" applyProtection="true">
      <alignment horizontal="general" vertical="bottom" textRotation="0" wrapText="false" indent="0" shrinkToFit="false"/>
      <protection locked="true" hidden="false"/>
    </xf>
    <xf numFmtId="169" fontId="45" fillId="5" borderId="1" xfId="0" applyFont="true" applyBorder="true" applyAlignment="true" applyProtection="true">
      <alignment horizontal="general" vertical="center" textRotation="0" wrapText="false" indent="0" shrinkToFit="false"/>
      <protection locked="true" hidden="false"/>
    </xf>
    <xf numFmtId="164" fontId="45" fillId="5" borderId="0" xfId="0" applyFont="true" applyBorder="false" applyAlignment="true" applyProtection="true">
      <alignment horizontal="general" vertical="center" textRotation="0" wrapText="false" indent="0" shrinkToFit="false"/>
      <protection locked="true" hidden="false"/>
    </xf>
    <xf numFmtId="164" fontId="17" fillId="5" borderId="0" xfId="0" applyFont="true" applyBorder="false" applyAlignment="true" applyProtection="true">
      <alignment horizontal="left" vertical="top" textRotation="0" wrapText="false" indent="0" shrinkToFit="false"/>
      <protection locked="true" hidden="false"/>
    </xf>
    <xf numFmtId="164" fontId="37" fillId="5" borderId="15" xfId="0" applyFont="true" applyBorder="true" applyAlignment="true" applyProtection="true">
      <alignment horizontal="general" vertical="top" textRotation="0" wrapText="false" indent="0" shrinkToFit="false"/>
      <protection locked="true" hidden="false"/>
    </xf>
    <xf numFmtId="164" fontId="17" fillId="5" borderId="15" xfId="0" applyFont="true" applyBorder="true" applyAlignment="true" applyProtection="true">
      <alignment horizontal="general" vertical="top" textRotation="0" wrapText="false" indent="0" shrinkToFit="false"/>
      <protection locked="true" hidden="false"/>
    </xf>
    <xf numFmtId="169" fontId="45" fillId="5" borderId="36" xfId="0" applyFont="true" applyBorder="true" applyAlignment="true" applyProtection="true">
      <alignment horizontal="general" vertical="center" textRotation="0" wrapText="false" indent="0" shrinkToFit="false"/>
      <protection locked="true" hidden="true"/>
    </xf>
    <xf numFmtId="164" fontId="23" fillId="5" borderId="1" xfId="0" applyFont="true" applyBorder="true" applyAlignment="true" applyProtection="true">
      <alignment horizontal="center" vertical="top" textRotation="0" wrapText="false" indent="0" shrinkToFit="false"/>
      <protection locked="true" hidden="false"/>
    </xf>
    <xf numFmtId="164" fontId="58" fillId="0" borderId="0" xfId="0" applyFont="true" applyBorder="false" applyAlignment="true" applyProtection="true">
      <alignment horizontal="center" vertical="center" textRotation="0" wrapText="false" indent="0" shrinkToFit="false"/>
      <protection locked="true" hidden="false"/>
    </xf>
    <xf numFmtId="164" fontId="59" fillId="0" borderId="1" xfId="0" applyFont="true" applyBorder="true" applyAlignment="true" applyProtection="true">
      <alignment horizontal="center" vertical="center" textRotation="0" wrapText="false" indent="0" shrinkToFit="false"/>
      <protection locked="true" hidden="false"/>
    </xf>
    <xf numFmtId="164" fontId="61" fillId="0" borderId="10" xfId="0" applyFont="true" applyBorder="true" applyAlignment="true" applyProtection="true">
      <alignment horizontal="center" vertical="center" textRotation="0" wrapText="true" indent="0" shrinkToFit="false"/>
      <protection locked="true" hidden="false"/>
    </xf>
    <xf numFmtId="164" fontId="62" fillId="7" borderId="0" xfId="0" applyFont="true" applyBorder="false" applyAlignment="true" applyProtection="true">
      <alignment horizontal="center" vertical="center" textRotation="0" wrapText="false" indent="0" shrinkToFit="false"/>
      <protection locked="false" hidden="false"/>
    </xf>
    <xf numFmtId="164" fontId="61" fillId="0" borderId="0" xfId="0" applyFont="true" applyBorder="true" applyAlignment="true" applyProtection="true">
      <alignment horizontal="right" vertical="center" textRotation="0" wrapText="false" indent="0" shrinkToFit="false"/>
      <protection locked="true" hidden="false"/>
    </xf>
    <xf numFmtId="164" fontId="61" fillId="0" borderId="0" xfId="0" applyFont="true" applyBorder="true" applyAlignment="true" applyProtection="true">
      <alignment horizontal="center" vertical="center" textRotation="0" wrapText="false" indent="0" shrinkToFit="false"/>
      <protection locked="true" hidden="false"/>
    </xf>
    <xf numFmtId="165" fontId="61" fillId="0" borderId="1" xfId="0" applyFont="true" applyBorder="true" applyAlignment="true" applyProtection="true">
      <alignment horizontal="center" vertical="center" textRotation="0" wrapText="false" indent="0" shrinkToFit="false"/>
      <protection locked="true" hidden="false"/>
    </xf>
    <xf numFmtId="164" fontId="61" fillId="0" borderId="7" xfId="0" applyFont="true" applyBorder="true" applyAlignment="true" applyProtection="true">
      <alignment horizontal="center" vertical="center" textRotation="0" wrapText="false" indent="0" shrinkToFit="false"/>
      <protection locked="true" hidden="false"/>
    </xf>
    <xf numFmtId="164" fontId="61" fillId="0" borderId="13" xfId="0" applyFont="true" applyBorder="true" applyAlignment="true" applyProtection="true">
      <alignment horizontal="center" vertical="center" textRotation="0" wrapText="false" indent="0" shrinkToFit="false"/>
      <protection locked="true" hidden="false"/>
    </xf>
    <xf numFmtId="164" fontId="60" fillId="0" borderId="0" xfId="0" applyFont="true" applyBorder="true" applyAlignment="true" applyProtection="true">
      <alignment horizontal="center" vertical="center" textRotation="0" wrapText="false" indent="0" shrinkToFit="false"/>
      <protection locked="true" hidden="false"/>
    </xf>
    <xf numFmtId="164" fontId="63" fillId="0" borderId="32" xfId="0" applyFont="true" applyBorder="true" applyAlignment="true" applyProtection="true">
      <alignment horizontal="right" vertical="center" textRotation="0" wrapText="false" indent="0" shrinkToFit="false"/>
      <protection locked="true" hidden="false"/>
    </xf>
    <xf numFmtId="166" fontId="64" fillId="0" borderId="0" xfId="0" applyFont="true" applyBorder="true" applyAlignment="true" applyProtection="true">
      <alignment horizontal="left" vertical="center" textRotation="0" wrapText="false" indent="0" shrinkToFit="false"/>
      <protection locked="true" hidden="false"/>
    </xf>
    <xf numFmtId="164" fontId="58" fillId="0" borderId="50" xfId="0" applyFont="true" applyBorder="true" applyAlignment="true" applyProtection="true">
      <alignment horizontal="center" vertical="center" textRotation="0" wrapText="true" indent="0" shrinkToFit="false"/>
      <protection locked="true" hidden="false"/>
    </xf>
    <xf numFmtId="164" fontId="58" fillId="0" borderId="0" xfId="0" applyFont="true" applyBorder="true" applyAlignment="true" applyProtection="true">
      <alignment horizontal="center" vertical="center" textRotation="0" wrapText="false" indent="0" shrinkToFit="false"/>
      <protection locked="true" hidden="false"/>
    </xf>
    <xf numFmtId="164" fontId="61" fillId="0" borderId="52" xfId="0" applyFont="true" applyBorder="true" applyAlignment="true" applyProtection="true">
      <alignment horizontal="center" vertical="center" textRotation="0" wrapText="false" indent="0" shrinkToFit="false"/>
      <protection locked="true" hidden="false"/>
    </xf>
    <xf numFmtId="164" fontId="61" fillId="0" borderId="53" xfId="0" applyFont="true" applyBorder="true" applyAlignment="true" applyProtection="true">
      <alignment horizontal="center" vertical="center" textRotation="0" wrapText="false" indent="0" shrinkToFit="false"/>
      <protection locked="true" hidden="false"/>
    </xf>
    <xf numFmtId="164" fontId="61" fillId="0" borderId="52" xfId="0" applyFont="true" applyBorder="true" applyAlignment="true" applyProtection="true">
      <alignment horizontal="center" vertical="center" textRotation="0" wrapText="true" indent="0" shrinkToFit="false"/>
      <protection locked="true" hidden="false"/>
    </xf>
    <xf numFmtId="164" fontId="61" fillId="0" borderId="0" xfId="0" applyFont="true" applyBorder="false" applyAlignment="true" applyProtection="true">
      <alignment horizontal="center" vertical="center" textRotation="0" wrapText="false" indent="0" shrinkToFit="false"/>
      <protection locked="true" hidden="false"/>
    </xf>
    <xf numFmtId="164" fontId="61" fillId="0" borderId="54" xfId="0" applyFont="true" applyBorder="true" applyAlignment="true" applyProtection="true">
      <alignment horizontal="center" vertical="center" textRotation="0" wrapText="false" indent="0" shrinkToFit="false"/>
      <protection locked="true" hidden="false"/>
    </xf>
    <xf numFmtId="165" fontId="58" fillId="0" borderId="54" xfId="0" applyFont="true" applyBorder="true" applyAlignment="true" applyProtection="true">
      <alignment horizontal="center" vertical="center" textRotation="0" wrapText="false" indent="0" shrinkToFit="false"/>
      <protection locked="true" hidden="false"/>
    </xf>
    <xf numFmtId="165" fontId="58" fillId="0" borderId="55" xfId="0" applyFont="true" applyBorder="true" applyAlignment="true" applyProtection="true">
      <alignment horizontal="center" vertical="center" textRotation="0" wrapText="false" indent="0" shrinkToFit="false"/>
      <protection locked="true" hidden="false"/>
    </xf>
    <xf numFmtId="178" fontId="65" fillId="0" borderId="52" xfId="0" applyFont="true" applyBorder="true" applyAlignment="true" applyProtection="true">
      <alignment horizontal="center" vertical="center" textRotation="0" wrapText="true" indent="0" shrinkToFit="false"/>
      <protection locked="true" hidden="false"/>
    </xf>
    <xf numFmtId="165" fontId="58" fillId="0" borderId="52" xfId="0" applyFont="true" applyBorder="true" applyAlignment="true" applyProtection="true">
      <alignment horizontal="center" vertical="center" textRotation="0" wrapText="false" indent="0" shrinkToFit="false"/>
      <protection locked="true" hidden="false"/>
    </xf>
    <xf numFmtId="165" fontId="58" fillId="0" borderId="53" xfId="0" applyFont="true" applyBorder="true" applyAlignment="true" applyProtection="true">
      <alignment horizontal="center" vertical="center" textRotation="0" wrapText="false" indent="0" shrinkToFit="false"/>
      <protection locked="true" hidden="false"/>
    </xf>
    <xf numFmtId="164" fontId="66" fillId="0" borderId="0" xfId="0" applyFont="true" applyBorder="false" applyAlignment="true" applyProtection="true">
      <alignment horizontal="center" vertical="center" textRotation="0" wrapText="false" indent="0" shrinkToFit="false"/>
      <protection locked="true" hidden="false"/>
    </xf>
    <xf numFmtId="164" fontId="58" fillId="0" borderId="13" xfId="0" applyFont="true" applyBorder="true" applyAlignment="true" applyProtection="true">
      <alignment horizontal="center" vertical="center" textRotation="0" wrapText="false" indent="0" shrinkToFit="false"/>
      <protection locked="true" hidden="false"/>
    </xf>
    <xf numFmtId="164" fontId="58" fillId="0" borderId="56" xfId="0" applyFont="true" applyBorder="true" applyAlignment="true" applyProtection="true">
      <alignment horizontal="center" vertical="center" textRotation="0" wrapText="false" indent="0" shrinkToFit="false"/>
      <protection locked="true" hidden="false"/>
    </xf>
    <xf numFmtId="165" fontId="67" fillId="0" borderId="15" xfId="0" applyFont="true" applyBorder="true" applyAlignment="true" applyProtection="true">
      <alignment horizontal="right" vertical="center" textRotation="0" wrapText="false" indent="0" shrinkToFit="false"/>
      <protection locked="true" hidden="false"/>
    </xf>
    <xf numFmtId="164" fontId="68" fillId="0" borderId="15" xfId="0" applyFont="true" applyBorder="true" applyAlignment="true" applyProtection="true">
      <alignment horizontal="left" vertical="center" textRotation="0" wrapText="false" indent="0" shrinkToFit="false"/>
      <protection locked="true" hidden="false"/>
    </xf>
    <xf numFmtId="169" fontId="69" fillId="0" borderId="14" xfId="0" applyFont="true" applyBorder="true" applyAlignment="true" applyProtection="true">
      <alignment horizontal="center" vertical="center" textRotation="0" wrapText="false" indent="0" shrinkToFit="false"/>
      <protection locked="true" hidden="false"/>
    </xf>
    <xf numFmtId="164" fontId="58" fillId="0" borderId="14" xfId="0" applyFont="true" applyBorder="true" applyAlignment="true" applyProtection="true">
      <alignment horizontal="center" vertical="center" textRotation="0" wrapText="false" indent="0" shrinkToFit="false"/>
      <protection locked="true" hidden="false"/>
    </xf>
    <xf numFmtId="165" fontId="58" fillId="0" borderId="13" xfId="0" applyFont="true" applyBorder="true" applyAlignment="true" applyProtection="true">
      <alignment horizontal="center" vertical="center" textRotation="0" wrapText="false" indent="0" shrinkToFit="false"/>
      <protection locked="true" hidden="false"/>
    </xf>
    <xf numFmtId="169" fontId="59" fillId="0" borderId="1" xfId="0" applyFont="true" applyBorder="true" applyAlignment="true" applyProtection="true">
      <alignment horizontal="right" vertical="center" textRotation="0" wrapText="false" indent="0" shrinkToFit="false"/>
      <protection locked="true" hidden="false"/>
    </xf>
    <xf numFmtId="164" fontId="61" fillId="0" borderId="13" xfId="0" applyFont="true" applyBorder="true" applyAlignment="true" applyProtection="true">
      <alignment horizontal="left" vertical="center" textRotation="0" wrapText="true" indent="0" shrinkToFit="false"/>
      <protection locked="true" hidden="false"/>
    </xf>
    <xf numFmtId="164" fontId="70" fillId="0" borderId="57" xfId="0" applyFont="true" applyBorder="true" applyAlignment="true" applyProtection="true">
      <alignment horizontal="center" vertical="center" textRotation="0" wrapText="true" indent="0" shrinkToFit="false"/>
      <protection locked="true" hidden="false"/>
    </xf>
    <xf numFmtId="164" fontId="58" fillId="0" borderId="58" xfId="0" applyFont="true" applyBorder="true" applyAlignment="true" applyProtection="true">
      <alignment horizontal="center" vertical="center" textRotation="0" wrapText="false" indent="0" shrinkToFit="false"/>
      <protection locked="true" hidden="false"/>
    </xf>
    <xf numFmtId="164" fontId="58" fillId="0" borderId="59"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1B75BC"/>
      <rgbColor rgb="FFC0C0C0"/>
      <rgbColor rgb="FF808080"/>
      <rgbColor rgb="FF9999FF"/>
      <rgbColor rgb="FFED1C24"/>
      <rgbColor rgb="FFFFFFCC"/>
      <rgbColor rgb="FFCCFFFF"/>
      <rgbColor rgb="FF660066"/>
      <rgbColor rgb="FFFF8080"/>
      <rgbColor rgb="FF0066B3"/>
      <rgbColor rgb="FFCCCCCC"/>
      <rgbColor rgb="FF000080"/>
      <rgbColor rgb="FFFF00FF"/>
      <rgbColor rgb="FFFFFF00"/>
      <rgbColor rgb="FF00FFFF"/>
      <rgbColor rgb="FF800080"/>
      <rgbColor rgb="FF800000"/>
      <rgbColor rgb="FF008080"/>
      <rgbColor rgb="FF0000FF"/>
      <rgbColor rgb="FF00CCFF"/>
      <rgbColor rgb="FFC3F8F3"/>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worksheet" Target="worksheets/sheet21.xml"/><Relationship Id="rId24" Type="http://schemas.openxmlformats.org/officeDocument/2006/relationships/worksheet" Target="worksheets/sheet22.xml"/><Relationship Id="rId25" Type="http://schemas.openxmlformats.org/officeDocument/2006/relationships/worksheet" Target="worksheets/sheet23.xml"/><Relationship Id="rId26" Type="http://schemas.openxmlformats.org/officeDocument/2006/relationships/worksheet" Target="worksheets/sheet24.xml"/><Relationship Id="rId2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18</xdr:row>
      <xdr:rowOff>129600</xdr:rowOff>
    </xdr:from>
    <xdr:to>
      <xdr:col>6</xdr:col>
      <xdr:colOff>864720</xdr:colOff>
      <xdr:row>26</xdr:row>
      <xdr:rowOff>441000</xdr:rowOff>
    </xdr:to>
    <xdr:sp>
      <xdr:nvSpPr>
        <xdr:cNvPr id="0" name="Text 4"/>
        <xdr:cNvSpPr/>
      </xdr:nvSpPr>
      <xdr:spPr>
        <a:xfrm>
          <a:off x="0" y="3185280"/>
          <a:ext cx="5692680" cy="3526920"/>
        </a:xfrm>
        <a:prstGeom prst="rect">
          <a:avLst/>
        </a:prstGeom>
        <a:solidFill>
          <a:srgbClr val="ffffff"/>
        </a:solidFill>
        <a:ln cap="sq" w="9360">
          <a:solidFill>
            <a:srgbClr val="000000"/>
          </a:solidFill>
          <a:miter/>
        </a:ln>
      </xdr:spPr>
      <xdr:style>
        <a:lnRef idx="0"/>
        <a:fillRef idx="0"/>
        <a:effectRef idx="0"/>
        <a:fontRef idx="minor"/>
      </xdr:style>
      <xdr:txBody>
        <a:bodyPr lIns="20160" rIns="20160" tIns="20160" bIns="20160" anchor="t">
          <a:noAutofit/>
        </a:bodyPr>
        <a:p>
          <a:pPr>
            <a:lnSpc>
              <a:spcPct val="100000"/>
            </a:lnSpc>
          </a:pPr>
          <a:endParaRPr b="0" lang="it-IT" sz="1000" spc="-1" strike="noStrike">
            <a:latin typeface="Times New Roman"/>
          </a:endParaRPr>
        </a:p>
        <a:p>
          <a:pPr>
            <a:lnSpc>
              <a:spcPct val="100000"/>
            </a:lnSpc>
          </a:pPr>
          <a:r>
            <a:rPr b="0" lang="it-IT" sz="1000" spc="-1" strike="noStrike">
              <a:solidFill>
                <a:srgbClr val="000000"/>
              </a:solidFill>
              <a:latin typeface="Arial"/>
              <a:ea typeface="DejaVu Sans"/>
            </a:rPr>
            <a:t>- mediante versamento sul conto corrente postale n° 170506 intestato a "Comune di Calenzano - servizio di tesoreria - 50041 - Calenzano", indicando la causale del pagamento;</a:t>
          </a:r>
          <a:endParaRPr b="0" lang="it-IT" sz="1000" spc="-1" strike="noStrike">
            <a:latin typeface="Times New Roman"/>
          </a:endParaRPr>
        </a:p>
        <a:p>
          <a:pPr>
            <a:lnSpc>
              <a:spcPct val="100000"/>
            </a:lnSpc>
          </a:pPr>
          <a:r>
            <a:rPr b="0" lang="it-IT" sz="1000" spc="-1" strike="noStrike">
              <a:solidFill>
                <a:srgbClr val="000000"/>
              </a:solidFill>
              <a:latin typeface="Arial"/>
              <a:ea typeface="DejaVu Sans"/>
            </a:rPr>
            <a:t>- mediante bonifico bancario a favore della tesoreria comunale c/o Unicredit - filiale di Calenzano – CODICE IBAN IT 15 E 02008 37761 000106294008 indicando la causale del pagamento.</a:t>
          </a:r>
          <a:endParaRPr b="0" lang="it-IT" sz="1000" spc="-1" strike="noStrike">
            <a:latin typeface="Times New Roman"/>
          </a:endParaRPr>
        </a:p>
        <a:p>
          <a:pPr>
            <a:lnSpc>
              <a:spcPct val="100000"/>
            </a:lnSpc>
          </a:pPr>
          <a:r>
            <a:rPr b="0" lang="it-IT" sz="1000" spc="-1" strike="noStrike">
              <a:solidFill>
                <a:srgbClr val="000000"/>
              </a:solidFill>
              <a:latin typeface="Arial"/>
              <a:ea typeface="DejaVu Sans"/>
            </a:rPr>
            <a:t> </a:t>
          </a:r>
          <a:endParaRPr b="0" lang="it-IT" sz="1000" spc="-1" strike="noStrike">
            <a:latin typeface="Times New Roman"/>
          </a:endParaRPr>
        </a:p>
        <a:p>
          <a:pPr algn="just">
            <a:lnSpc>
              <a:spcPct val="100000"/>
            </a:lnSpc>
          </a:pPr>
          <a:r>
            <a:rPr b="0" lang="it-IT" sz="1000" spc="-1" strike="noStrike">
              <a:solidFill>
                <a:srgbClr val="000000"/>
              </a:solidFill>
              <a:latin typeface="Arial"/>
              <a:ea typeface="DejaVu Sans"/>
            </a:rPr>
            <a:t>____________________________________________________________________________</a:t>
          </a:r>
          <a:endParaRPr b="0" lang="it-IT" sz="1000" spc="-1" strike="noStrike">
            <a:latin typeface="Times New Roman"/>
          </a:endParaRPr>
        </a:p>
        <a:p>
          <a:pPr algn="just">
            <a:lnSpc>
              <a:spcPct val="100000"/>
            </a:lnSpc>
          </a:pPr>
          <a:r>
            <a:rPr b="0" lang="it-IT" sz="800" spc="-1" strike="noStrike">
              <a:solidFill>
                <a:srgbClr val="000000"/>
              </a:solidFill>
              <a:latin typeface="Arial"/>
              <a:ea typeface="DejaVu Sans"/>
            </a:rPr>
            <a:t>Gli oneri di urbanizzazione e il contributo sul costo di costruzione sono determinati prima del rilascio del permesso di costruire e, in caso di segnalazione certificata di inizio attività , la determinazione, effettuata a cura del progettista, dovrà essere allegata alla segnalazione stessa.</a:t>
          </a:r>
          <a:endParaRPr b="0" lang="it-IT" sz="800" spc="-1" strike="noStrike">
            <a:latin typeface="Times New Roman"/>
          </a:endParaRPr>
        </a:p>
        <a:p>
          <a:pPr algn="just">
            <a:lnSpc>
              <a:spcPct val="100000"/>
            </a:lnSpc>
          </a:pPr>
          <a:r>
            <a:rPr b="0" lang="it-IT" sz="800" spc="-1" strike="noStrike">
              <a:solidFill>
                <a:srgbClr val="000000"/>
              </a:solidFill>
              <a:latin typeface="Arial"/>
              <a:ea typeface="DejaVu Sans"/>
            </a:rPr>
            <a:t>Qualora l’interessato opti per il pagamento dilazionato del contributo è consentita la rateizzazione in 6 rate a cadenza semestrale a decorrere dalla data di rilascio del permesso di costruire o di presentazione della segnalazione certificata di inizio attività.</a:t>
          </a:r>
          <a:endParaRPr b="0" lang="it-IT" sz="800" spc="-1" strike="noStrike">
            <a:latin typeface="Times New Roman"/>
          </a:endParaRPr>
        </a:p>
        <a:p>
          <a:pPr algn="just">
            <a:lnSpc>
              <a:spcPct val="100000"/>
            </a:lnSpc>
          </a:pPr>
          <a:r>
            <a:rPr b="0" lang="it-IT" sz="800" spc="-1" strike="noStrike">
              <a:solidFill>
                <a:srgbClr val="000000"/>
              </a:solidFill>
              <a:latin typeface="Arial"/>
              <a:ea typeface="DejaVu Sans"/>
            </a:rPr>
            <a:t>Ai pagamenti rateizzati saranno applicati gli interessi legali: La somma rateizzata dovrà essere garantita da fidejussione bancaria o assicurativa di importo pari a quello dei pagamenti dilazionati + il 10% a copertura delle sanzioni per gli eventuali ritardi nei pagamenti stessi. Per tutta la durata della rateizzazione si applica il tasso di interesse legale in vigore all’inizioi.</a:t>
          </a:r>
          <a:endParaRPr b="0" lang="it-IT" sz="800" spc="-1" strike="noStrike">
            <a:latin typeface="Times New Roman"/>
          </a:endParaRPr>
        </a:p>
        <a:p>
          <a:pPr algn="just">
            <a:lnSpc>
              <a:spcPct val="100000"/>
            </a:lnSpc>
          </a:pPr>
          <a:endParaRPr b="0" lang="it-IT" sz="800" spc="-1" strike="noStrike">
            <a:latin typeface="Times New Roman"/>
          </a:endParaRPr>
        </a:p>
        <a:p>
          <a:pPr algn="just">
            <a:lnSpc>
              <a:spcPct val="100000"/>
            </a:lnSpc>
          </a:pPr>
          <a:r>
            <a:rPr b="0" lang="it-IT" sz="800" spc="-1" strike="noStrike">
              <a:solidFill>
                <a:srgbClr val="000000"/>
              </a:solidFill>
              <a:latin typeface="Arial"/>
              <a:ea typeface="DejaVu Sans"/>
            </a:rPr>
            <a:t>L’intero ammontare del contributo o, nel caso di rateizzazione, l’importo della prima rata di esso, dovranno essere corrisposti prima del rilascio del permesso di costruire</a:t>
          </a:r>
          <a:endParaRPr b="0" lang="it-IT" sz="800" spc="-1" strike="noStrike">
            <a:latin typeface="Times New Roman"/>
          </a:endParaRPr>
        </a:p>
        <a:p>
          <a:pPr algn="just">
            <a:lnSpc>
              <a:spcPct val="100000"/>
            </a:lnSpc>
          </a:pPr>
          <a:endParaRPr b="0" lang="it-IT" sz="800" spc="-1" strike="noStrike">
            <a:latin typeface="Times New Roman"/>
          </a:endParaRPr>
        </a:p>
        <a:p>
          <a:pPr algn="just">
            <a:lnSpc>
              <a:spcPct val="100000"/>
            </a:lnSpc>
          </a:pPr>
          <a:r>
            <a:rPr b="0" lang="it-IT" sz="800" spc="-1" strike="noStrike">
              <a:solidFill>
                <a:srgbClr val="000000"/>
              </a:solidFill>
              <a:latin typeface="Arial"/>
              <a:ea typeface="DejaVu Sans"/>
            </a:rPr>
            <a:t>Decorsi 90 giorni dalla data di ricevimento della lettera di trasmissione del conteggio da parte del Comune senza che il pagamento sia stato effettuato, si procederà all’archiviazione della pratica.</a:t>
          </a:r>
          <a:endParaRPr b="0" lang="it-IT" sz="800" spc="-1" strike="noStrike">
            <a:latin typeface="Times New Roman"/>
          </a:endParaRPr>
        </a:p>
        <a:p>
          <a:pPr algn="just">
            <a:lnSpc>
              <a:spcPct val="100000"/>
            </a:lnSpc>
          </a:pPr>
          <a:r>
            <a:rPr b="0" lang="it-IT" sz="800" spc="-1" strike="noStrike">
              <a:solidFill>
                <a:srgbClr val="000000"/>
              </a:solidFill>
              <a:latin typeface="Arial"/>
              <a:ea typeface="DejaVu Sans"/>
            </a:rPr>
            <a:t>Il suddetto termine può essere prorogato, su preventiva richiesta scritta motivata dalla proprietà, una volta soltanto. In tal caso si applicano gli interessi legali sulla somma dovuta calcolati per il periodo intercorso tra la scadenza iniziale e la data in cui viene effettuato il pagamento stesso. </a:t>
          </a:r>
          <a:endParaRPr b="0" lang="it-IT" sz="800" spc="-1" strike="noStrike">
            <a:latin typeface="Times New Roman"/>
          </a:endParaRPr>
        </a:p>
        <a:p>
          <a:pPr algn="just">
            <a:lnSpc>
              <a:spcPct val="100000"/>
            </a:lnSpc>
          </a:pPr>
          <a:r>
            <a:rPr b="0" lang="it-IT" sz="800" spc="-1" strike="noStrike">
              <a:solidFill>
                <a:srgbClr val="000000"/>
              </a:solidFill>
              <a:latin typeface="Arial"/>
              <a:ea typeface="DejaVu Sans"/>
            </a:rPr>
            <a:t>Nel caso di segnalazione certificata di inizio attività il pagamento dell’intero contributo o della prima rata di esso dovranno avvenireentro 20 giorni dalla data di presentazione. </a:t>
          </a:r>
          <a:endParaRPr b="0" lang="it-IT" sz="800" spc="-1" strike="noStrike">
            <a:latin typeface="Times New Roman"/>
          </a:endParaRPr>
        </a:p>
        <a:p>
          <a:pPr algn="just">
            <a:lnSpc>
              <a:spcPct val="100000"/>
            </a:lnSpc>
          </a:pPr>
          <a:r>
            <a:rPr b="0" lang="it-IT" sz="800" spc="-1" strike="noStrike">
              <a:solidFill>
                <a:srgbClr val="000000"/>
              </a:solidFill>
              <a:latin typeface="Arial"/>
              <a:ea typeface="DejaVu Sans"/>
            </a:rPr>
            <a:t>Le rate semestrali avranno decorrenza dalla data di rilascio del permesso di costruire o dalla data di deposito della segnalazione certificata di inizio attività.</a:t>
          </a:r>
          <a:endParaRPr b="0" lang="it-IT" sz="800" spc="-1" strike="noStrike">
            <a:latin typeface="Times New Roman"/>
          </a:endParaRPr>
        </a:p>
        <a:p>
          <a:pPr>
            <a:lnSpc>
              <a:spcPct val="100000"/>
            </a:lnSpc>
          </a:pPr>
          <a:endParaRPr b="0" lang="it-IT" sz="8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1749600</xdr:colOff>
      <xdr:row>149</xdr:row>
      <xdr:rowOff>266040</xdr:rowOff>
    </xdr:from>
    <xdr:to>
      <xdr:col>5</xdr:col>
      <xdr:colOff>219600</xdr:colOff>
      <xdr:row>151</xdr:row>
      <xdr:rowOff>358200</xdr:rowOff>
    </xdr:to>
    <xdr:sp>
      <xdr:nvSpPr>
        <xdr:cNvPr id="1" name="Forme 1"/>
        <xdr:cNvSpPr txBox="1"/>
      </xdr:nvSpPr>
      <xdr:spPr>
        <a:xfrm rot="16200000">
          <a:off x="7885080" y="57744000"/>
          <a:ext cx="854280" cy="255240"/>
        </a:xfrm>
        <a:prstGeom prst="rect">
          <a:avLst/>
        </a:prstGeom>
      </xdr:spPr>
      <xdr:txBody>
        <a:bodyPr wrap="none" lIns="108720" rIns="108720" tIns="46800" bIns="46800" anchor="ctr" rot="5400000">
          <a:prstTxWarp prst="textPlain">
            <a:avLst>
              <a:gd name="adj" fmla="val 50000"/>
            </a:avLst>
          </a:prstTxWarp>
          <a:noAutofit/>
        </a:bodyPr>
        <a:p>
          <a:pPr>
            <a:lnSpc>
              <a:spcPct val="100000"/>
            </a:lnSpc>
          </a:pPr>
          <a:r>
            <a:rPr b="0" lang="it-IT" sz="800" spc="-1" strike="noStrike">
              <a:ln cap="sq" w="9360">
                <a:solidFill>
                  <a:srgbClr val="000000"/>
                </a:solidFill>
                <a:miter/>
              </a:ln>
              <a:solidFill>
                <a:srgbClr val="000000"/>
              </a:solidFill>
              <a:latin typeface="Arial"/>
            </a:rPr>
            <a:t> </a:t>
          </a:r>
          <a:endParaRPr b="0" lang="it-IT" sz="800" spc="-1" strike="noStrike">
            <a:ln cap="sq" w="9360">
              <a:solidFill>
                <a:srgbClr val="000000"/>
              </a:solidFill>
              <a:miter/>
            </a:ln>
            <a:solidFill>
              <a:srgbClr val="000000"/>
            </a:solidFill>
            <a:latin typeface="Times New Roman"/>
          </a:endParaRPr>
        </a:p>
      </xdr:txBody>
    </xdr:sp>
    <xdr:clientData/>
  </xdr:twoCellAnchor>
  <xdr:twoCellAnchor editAs="oneCell">
    <xdr:from>
      <xdr:col>4</xdr:col>
      <xdr:colOff>1749600</xdr:colOff>
      <xdr:row>158</xdr:row>
      <xdr:rowOff>74520</xdr:rowOff>
    </xdr:from>
    <xdr:to>
      <xdr:col>5</xdr:col>
      <xdr:colOff>230760</xdr:colOff>
      <xdr:row>160</xdr:row>
      <xdr:rowOff>174240</xdr:rowOff>
    </xdr:to>
    <xdr:sp>
      <xdr:nvSpPr>
        <xdr:cNvPr id="2" name="Forme 2"/>
        <xdr:cNvSpPr txBox="1"/>
      </xdr:nvSpPr>
      <xdr:spPr>
        <a:xfrm rot="16200000">
          <a:off x="7886880" y="60979680"/>
          <a:ext cx="861840" cy="266400"/>
        </a:xfrm>
        <a:prstGeom prst="rect">
          <a:avLst/>
        </a:prstGeom>
      </xdr:spPr>
      <xdr:txBody>
        <a:bodyPr wrap="none" lIns="108720" rIns="108720" tIns="46800" bIns="46800" anchor="ctr" rot="5400000">
          <a:prstTxWarp prst="textPlain">
            <a:avLst>
              <a:gd name="adj" fmla="val 50000"/>
            </a:avLst>
          </a:prstTxWarp>
          <a:noAutofit/>
        </a:bodyPr>
        <a:p>
          <a:pPr>
            <a:lnSpc>
              <a:spcPct val="100000"/>
            </a:lnSpc>
          </a:pPr>
          <a:r>
            <a:rPr b="0" lang="it-IT" sz="800" spc="-1" strike="noStrike">
              <a:ln cap="sq" w="9360">
                <a:solidFill>
                  <a:srgbClr val="000000"/>
                </a:solidFill>
                <a:miter/>
              </a:ln>
              <a:solidFill>
                <a:srgbClr val="000000"/>
              </a:solidFill>
              <a:latin typeface="Arial"/>
            </a:rPr>
            <a:t> </a:t>
          </a:r>
          <a:endParaRPr b="0" lang="it-IT" sz="800" spc="-1" strike="noStrike">
            <a:ln cap="sq" w="9360">
              <a:solidFill>
                <a:srgbClr val="000000"/>
              </a:solidFill>
              <a:miter/>
            </a:ln>
            <a:solidFill>
              <a:srgbClr val="000000"/>
            </a:solidFill>
            <a:latin typeface="Times New Roman"/>
          </a:endParaRPr>
        </a:p>
      </xdr:txBody>
    </xdr:sp>
    <xdr:clientData/>
  </xdr:twoCellAnchor>
  <xdr:twoCellAnchor editAs="oneCell">
    <xdr:from>
      <xdr:col>0</xdr:col>
      <xdr:colOff>0</xdr:colOff>
      <xdr:row>15</xdr:row>
      <xdr:rowOff>45360</xdr:rowOff>
    </xdr:from>
    <xdr:to>
      <xdr:col>5</xdr:col>
      <xdr:colOff>828720</xdr:colOff>
      <xdr:row>21</xdr:row>
      <xdr:rowOff>317880</xdr:rowOff>
    </xdr:to>
    <xdr:sp>
      <xdr:nvSpPr>
        <xdr:cNvPr id="3" name="Text 7"/>
        <xdr:cNvSpPr/>
      </xdr:nvSpPr>
      <xdr:spPr>
        <a:xfrm>
          <a:off x="0" y="6170040"/>
          <a:ext cx="9048960" cy="2558520"/>
        </a:xfrm>
        <a:prstGeom prst="rect">
          <a:avLst/>
        </a:prstGeom>
        <a:solidFill>
          <a:srgbClr val="ffffff"/>
        </a:solidFill>
        <a:ln cap="sq" w="9360">
          <a:solidFill>
            <a:srgbClr val="000000"/>
          </a:solidFill>
          <a:miter/>
        </a:ln>
      </xdr:spPr>
      <xdr:style>
        <a:lnRef idx="0"/>
        <a:fillRef idx="0"/>
        <a:effectRef idx="0"/>
        <a:fontRef idx="minor"/>
      </xdr:style>
      <xdr:txBody>
        <a:bodyPr lIns="20160" rIns="20160" tIns="20160" bIns="20160" anchor="t">
          <a:noAutofit/>
        </a:bodyPr>
        <a:p>
          <a:pPr>
            <a:lnSpc>
              <a:spcPct val="100000"/>
            </a:lnSpc>
          </a:pPr>
          <a:endParaRPr b="0" lang="it-IT" sz="1000" spc="-1" strike="noStrike">
            <a:latin typeface="Times New Roman"/>
          </a:endParaRPr>
        </a:p>
        <a:p>
          <a:pPr>
            <a:lnSpc>
              <a:spcPct val="100000"/>
            </a:lnSpc>
          </a:pPr>
          <a:r>
            <a:rPr b="0" lang="it-IT" sz="1000" spc="-1" strike="noStrike">
              <a:solidFill>
                <a:srgbClr val="000000"/>
              </a:solidFill>
              <a:latin typeface="Arial"/>
              <a:ea typeface="DejaVu Sans"/>
            </a:rPr>
            <a:t>Gli oneri di urbanizzazione e il contributo sul costo di costruzione sono determinati prima del rilascio del permesso di costruire e, in caso di segnalazione certificata di inizio attività, la determinazione, effettuata a cura del progettista, dovrà essere allegata alla segnalazione stessa.</a:t>
          </a:r>
          <a:endParaRPr b="0" lang="it-IT" sz="1000" spc="-1" strike="noStrike">
            <a:latin typeface="Times New Roman"/>
          </a:endParaRPr>
        </a:p>
        <a:p>
          <a:pPr>
            <a:lnSpc>
              <a:spcPct val="100000"/>
            </a:lnSpc>
          </a:pPr>
          <a:r>
            <a:rPr b="0" lang="it-IT" sz="1000" spc="-1" strike="noStrike">
              <a:solidFill>
                <a:srgbClr val="000000"/>
              </a:solidFill>
              <a:latin typeface="Arial"/>
              <a:ea typeface="DejaVu Sans"/>
            </a:rPr>
            <a:t>Qualora l’interessato opti per il pagamento dilazionato del contributo è consentita la rateizzazione </a:t>
          </a:r>
          <a:r>
            <a:rPr b="1" lang="it-IT" sz="1000" spc="-1" strike="noStrike">
              <a:solidFill>
                <a:srgbClr val="000000"/>
              </a:solidFill>
              <a:latin typeface="Arial"/>
              <a:ea typeface="DejaVu Sans"/>
            </a:rPr>
            <a:t>in 6 rate</a:t>
          </a:r>
          <a:r>
            <a:rPr b="0" lang="it-IT" sz="1000" spc="-1" strike="noStrike">
              <a:solidFill>
                <a:srgbClr val="000000"/>
              </a:solidFill>
              <a:latin typeface="Arial"/>
              <a:ea typeface="DejaVu Sans"/>
            </a:rPr>
            <a:t> a cadenza semestrale a decorrere dalla data di rilascio del permesso di costruire o di presentazione della segnalazione certificata di inizio attività.</a:t>
          </a:r>
          <a:endParaRPr b="0" lang="it-IT" sz="1000" spc="-1" strike="noStrike">
            <a:latin typeface="Times New Roman"/>
          </a:endParaRPr>
        </a:p>
        <a:p>
          <a:pPr>
            <a:lnSpc>
              <a:spcPct val="100000"/>
            </a:lnSpc>
          </a:pPr>
          <a:r>
            <a:rPr b="0" lang="it-IT" sz="1000" spc="-1" strike="noStrike">
              <a:solidFill>
                <a:srgbClr val="000000"/>
              </a:solidFill>
              <a:latin typeface="Arial"/>
              <a:ea typeface="DejaVu Sans"/>
            </a:rPr>
            <a:t>Ai pagamenti rateizzati saranno applicati gli interessi legali. La somma rateizzata dovrà essere garantita da fidejussione bancaria o assicurativa di importo pari a quello dei pagamenti dilazionati + il 10% a copertura delle sanzioni per gli eventuali ritardi nei pagamenti stessi. Per tutta la durata della rateizzazione si applica il tasso di interesse legale in vigore all’inizio.</a:t>
          </a:r>
          <a:endParaRPr b="0" lang="it-IT" sz="1000" spc="-1" strike="noStrike">
            <a:latin typeface="Times New Roman"/>
          </a:endParaRPr>
        </a:p>
        <a:p>
          <a:pPr>
            <a:lnSpc>
              <a:spcPct val="100000"/>
            </a:lnSpc>
          </a:pPr>
          <a:r>
            <a:rPr b="0" lang="it-IT" sz="1000" spc="-1" strike="noStrike">
              <a:solidFill>
                <a:srgbClr val="000000"/>
              </a:solidFill>
              <a:latin typeface="Arial"/>
              <a:ea typeface="DejaVu Sans"/>
            </a:rPr>
            <a:t>L’intero ammontare del contributo o, nel caso di rateizzazione, l’importo della prima rata di esso, dovranno essere corrisposti prima del rilascio del permesso di costruire.</a:t>
          </a:r>
          <a:endParaRPr b="0" lang="it-IT" sz="1000" spc="-1" strike="noStrike">
            <a:latin typeface="Times New Roman"/>
          </a:endParaRPr>
        </a:p>
        <a:p>
          <a:pPr>
            <a:lnSpc>
              <a:spcPct val="100000"/>
            </a:lnSpc>
          </a:pPr>
          <a:r>
            <a:rPr b="0" lang="it-IT" sz="1000" spc="-1" strike="noStrike">
              <a:solidFill>
                <a:srgbClr val="000000"/>
              </a:solidFill>
              <a:latin typeface="Arial"/>
              <a:ea typeface="DejaVu Sans"/>
            </a:rPr>
            <a:t>Decorsi 90 giorni dalla data di ricevimento della lettera di trasmissione del conteggio da parte del Comune senza che il pagamento sia stato effettuato, si procederà all’archiviazione della pratica.</a:t>
          </a:r>
          <a:endParaRPr b="0" lang="it-IT" sz="1000" spc="-1" strike="noStrike">
            <a:latin typeface="Times New Roman"/>
          </a:endParaRPr>
        </a:p>
        <a:p>
          <a:pPr>
            <a:lnSpc>
              <a:spcPct val="100000"/>
            </a:lnSpc>
          </a:pPr>
          <a:r>
            <a:rPr b="0" lang="it-IT" sz="1000" spc="-1" strike="noStrike">
              <a:solidFill>
                <a:srgbClr val="000000"/>
              </a:solidFill>
              <a:latin typeface="Arial"/>
              <a:ea typeface="DejaVu Sans"/>
            </a:rPr>
            <a:t>Il suddetto termine può essere prorogato, su preventiva richiesta scritta motivata della proprietà, una volta soltanto. In tal caso si applicano gli interessi legali sulla somma dovuta, calcolati per il periodo intercorso tra la scadenza iniziale e la data in cui viene effettuato il pagamento stesso.</a:t>
          </a:r>
          <a:endParaRPr b="0" lang="it-IT" sz="1000" spc="-1" strike="noStrike">
            <a:latin typeface="Times New Roman"/>
          </a:endParaRPr>
        </a:p>
        <a:p>
          <a:pPr>
            <a:lnSpc>
              <a:spcPct val="100000"/>
            </a:lnSpc>
          </a:pPr>
          <a:r>
            <a:rPr b="0" lang="it-IT" sz="1000" spc="-1" strike="noStrike">
              <a:solidFill>
                <a:srgbClr val="000000"/>
              </a:solidFill>
              <a:latin typeface="Arial"/>
              <a:ea typeface="DejaVu Sans"/>
            </a:rPr>
            <a:t>Nel caso di segnalazione certificata di inizio attività il pagamento dell’intero contributo o della prima rata di esso, dovranno avvenire entro 20 giorni dalla data di presentazione.</a:t>
          </a:r>
          <a:endParaRPr b="0" lang="it-IT" sz="1000" spc="-1" strike="noStrike">
            <a:latin typeface="Times New Roman"/>
          </a:endParaRPr>
        </a:p>
        <a:p>
          <a:pPr>
            <a:lnSpc>
              <a:spcPct val="100000"/>
            </a:lnSpc>
          </a:pPr>
          <a:r>
            <a:rPr b="0" lang="it-IT" sz="1000" spc="-1" strike="noStrike">
              <a:solidFill>
                <a:srgbClr val="000000"/>
              </a:solidFill>
              <a:latin typeface="Arial"/>
              <a:ea typeface="DejaVu Sans"/>
            </a:rPr>
            <a:t>Le rate semestrali avranno decorrenza dalla data di rilascio del permesso di costruire o dalla data di deposito della segnalazione certificata di inizio attività.</a:t>
          </a:r>
          <a:endParaRPr b="0" lang="it-IT" sz="1000" spc="-1" strike="noStrike">
            <a:latin typeface="Times New Roman"/>
          </a:endParaRPr>
        </a:p>
        <a:p>
          <a:pPr>
            <a:lnSpc>
              <a:spcPct val="100000"/>
            </a:lnSpc>
          </a:pPr>
          <a:endParaRPr b="0" lang="it-IT"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3.xml.rels><?xml version="1.0" encoding="UTF-8"?>
<Relationships xmlns="http://schemas.openxmlformats.org/package/2006/relationships"><Relationship Id="rId1" Type="http://schemas.openxmlformats.org/officeDocument/2006/relationships/drawing" Target="../drawings/drawing1.xml"/>
</Relationships>
</file>

<file path=xl/worksheets/_rels/sheet24.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5"/>
  <sheetViews>
    <sheetView showFormulas="false" showGridLines="true" showRowColHeaders="true" showZeros="true" rightToLeft="false" tabSelected="false" showOutlineSymbols="true" defaultGridColor="true" view="normal" topLeftCell="A1" colorId="64" zoomScale="82" zoomScaleNormal="82" zoomScalePageLayoutView="100" workbookViewId="0">
      <selection pane="topLeft" activeCell="C30" activeCellId="0" sqref="C30"/>
    </sheetView>
  </sheetViews>
  <sheetFormatPr defaultColWidth="8.625" defaultRowHeight="14.7" zeroHeight="false" outlineLevelRow="0" outlineLevelCol="0"/>
  <cols>
    <col collapsed="false" customWidth="true" hidden="false" outlineLevel="0" max="1" min="1" style="1" width="18.29"/>
    <col collapsed="false" customWidth="true" hidden="false" outlineLevel="0" max="2" min="2" style="1" width="15.29"/>
    <col collapsed="false" customWidth="true" hidden="false" outlineLevel="0" max="3" min="3" style="1" width="11.29"/>
    <col collapsed="false" customWidth="true" hidden="false" outlineLevel="0" max="4" min="4" style="1" width="9.29"/>
    <col collapsed="false" customWidth="true" hidden="false" outlineLevel="0" max="6" min="5" style="1" width="11.29"/>
    <col collapsed="false" customWidth="true" hidden="false" outlineLevel="0" max="7" min="7" style="1" width="9.29"/>
    <col collapsed="false" customWidth="true" hidden="false" outlineLevel="0" max="8" min="8" style="1" width="11.29"/>
    <col collapsed="false" customWidth="true" hidden="false" outlineLevel="0" max="9" min="9" style="2" width="11.29"/>
    <col collapsed="false" customWidth="true" hidden="false" outlineLevel="0" max="10" min="10" style="3" width="15.85"/>
    <col collapsed="false" customWidth="true" hidden="false" outlineLevel="0" max="12" min="11" style="1" width="9.29"/>
    <col collapsed="false" customWidth="true" hidden="false" outlineLevel="0" max="14" min="14" style="1" width="18.29"/>
  </cols>
  <sheetData>
    <row r="1" customFormat="false" ht="19.35" hidden="false" customHeight="true" outlineLevel="0" collapsed="false">
      <c r="A1" s="4" t="s">
        <v>0</v>
      </c>
      <c r="B1" s="4"/>
      <c r="C1" s="4"/>
      <c r="D1" s="4"/>
      <c r="E1" s="4"/>
      <c r="F1" s="4"/>
      <c r="G1" s="4"/>
      <c r="H1" s="4"/>
      <c r="I1" s="4"/>
      <c r="J1" s="4"/>
      <c r="K1" s="4"/>
      <c r="L1" s="4"/>
    </row>
    <row r="2" customFormat="false" ht="38.25" hidden="false" customHeight="true" outlineLevel="0" collapsed="false">
      <c r="A2" s="5" t="s">
        <v>1</v>
      </c>
      <c r="B2" s="5"/>
      <c r="C2" s="5"/>
      <c r="D2" s="5"/>
      <c r="E2" s="5"/>
      <c r="F2" s="5"/>
      <c r="G2" s="5"/>
      <c r="H2" s="5"/>
      <c r="I2" s="5"/>
      <c r="J2" s="5"/>
      <c r="K2" s="5"/>
      <c r="L2" s="5"/>
    </row>
    <row r="3" customFormat="false" ht="14.7" hidden="false" customHeight="true" outlineLevel="0" collapsed="false">
      <c r="A3" s="6" t="s">
        <v>2</v>
      </c>
      <c r="B3" s="6"/>
      <c r="C3" s="6"/>
      <c r="D3" s="6"/>
      <c r="E3" s="6"/>
      <c r="F3" s="6"/>
      <c r="G3" s="6"/>
      <c r="H3" s="6"/>
      <c r="I3" s="6"/>
      <c r="J3" s="6"/>
      <c r="K3" s="6"/>
      <c r="L3" s="6"/>
    </row>
    <row r="4" customFormat="false" ht="14.7" hidden="false" customHeight="true" outlineLevel="0" collapsed="false">
      <c r="A4" s="6"/>
      <c r="B4" s="6"/>
      <c r="C4" s="6"/>
      <c r="D4" s="6"/>
      <c r="E4" s="6"/>
      <c r="F4" s="6"/>
      <c r="G4" s="6"/>
      <c r="H4" s="6"/>
      <c r="I4" s="6"/>
      <c r="J4" s="6"/>
      <c r="K4" s="6"/>
      <c r="L4" s="6"/>
    </row>
    <row r="5" customFormat="false" ht="38.25" hidden="false" customHeight="true" outlineLevel="0" collapsed="false">
      <c r="A5" s="7"/>
      <c r="B5" s="8" t="s">
        <v>3</v>
      </c>
      <c r="C5" s="8"/>
      <c r="D5" s="9" t="s">
        <v>4</v>
      </c>
      <c r="E5" s="10" t="s">
        <v>5</v>
      </c>
      <c r="F5" s="10" t="s">
        <v>6</v>
      </c>
      <c r="G5" s="10" t="s">
        <v>7</v>
      </c>
      <c r="H5" s="10" t="s">
        <v>8</v>
      </c>
      <c r="I5" s="11" t="s">
        <v>9</v>
      </c>
      <c r="J5" s="10" t="s">
        <v>10</v>
      </c>
      <c r="K5" s="7"/>
      <c r="L5" s="7"/>
    </row>
    <row r="6" customFormat="false" ht="24" hidden="false" customHeight="true" outlineLevel="0" collapsed="false">
      <c r="A6" s="12" t="s">
        <v>11</v>
      </c>
      <c r="B6" s="10" t="s">
        <v>12</v>
      </c>
      <c r="C6" s="10"/>
      <c r="D6" s="13" t="n">
        <v>9</v>
      </c>
      <c r="E6" s="14" t="n">
        <v>1.04</v>
      </c>
      <c r="F6" s="14" t="n">
        <v>9.36</v>
      </c>
      <c r="G6" s="14" t="n">
        <v>36.4</v>
      </c>
      <c r="H6" s="14" t="n">
        <v>14.16</v>
      </c>
      <c r="I6" s="15" t="n">
        <f aca="false">PRODUCT(H6*B15)</f>
        <v>14.38656</v>
      </c>
      <c r="J6" s="16" t="n">
        <f aca="false">I6+I7</f>
        <v>55.94096</v>
      </c>
      <c r="K6" s="17" t="s">
        <v>13</v>
      </c>
      <c r="L6" s="17"/>
    </row>
    <row r="7" customFormat="false" ht="24" hidden="false" customHeight="true" outlineLevel="0" collapsed="false">
      <c r="A7" s="12"/>
      <c r="B7" s="10" t="s">
        <v>14</v>
      </c>
      <c r="C7" s="10"/>
      <c r="D7" s="13" t="n">
        <v>26</v>
      </c>
      <c r="E7" s="14" t="n">
        <v>1.04</v>
      </c>
      <c r="F7" s="14" t="n">
        <v>27.04</v>
      </c>
      <c r="G7" s="14"/>
      <c r="H7" s="14" t="n">
        <v>40.9</v>
      </c>
      <c r="I7" s="15" t="n">
        <f aca="false">PRODUCT(H7*B15)</f>
        <v>41.5544</v>
      </c>
      <c r="J7" s="16"/>
      <c r="K7" s="17"/>
      <c r="L7" s="17"/>
    </row>
    <row r="8" customFormat="false" ht="24" hidden="false" customHeight="true" outlineLevel="0" collapsed="false">
      <c r="A8" s="12" t="s">
        <v>15</v>
      </c>
      <c r="B8" s="10" t="s">
        <v>16</v>
      </c>
      <c r="C8" s="10"/>
      <c r="D8" s="13" t="n">
        <v>12</v>
      </c>
      <c r="E8" s="14" t="n">
        <v>1.04</v>
      </c>
      <c r="F8" s="14" t="n">
        <v>12.48</v>
      </c>
      <c r="G8" s="18" t="n">
        <v>23.92</v>
      </c>
      <c r="H8" s="18" t="n">
        <v>18.88</v>
      </c>
      <c r="I8" s="15" t="n">
        <f aca="false">PRODUCT(H8*B15)</f>
        <v>19.18208</v>
      </c>
      <c r="J8" s="19" t="n">
        <f aca="false">I8+I9</f>
        <v>36.75888</v>
      </c>
      <c r="K8" s="17" t="s">
        <v>17</v>
      </c>
      <c r="L8" s="17"/>
    </row>
    <row r="9" customFormat="false" ht="24" hidden="false" customHeight="true" outlineLevel="0" collapsed="false">
      <c r="A9" s="12"/>
      <c r="B9" s="10" t="s">
        <v>14</v>
      </c>
      <c r="C9" s="10"/>
      <c r="D9" s="13" t="n">
        <v>11</v>
      </c>
      <c r="E9" s="14" t="n">
        <v>1.04</v>
      </c>
      <c r="F9" s="14" t="n">
        <v>11.44</v>
      </c>
      <c r="G9" s="18"/>
      <c r="H9" s="18" t="n">
        <v>17.3</v>
      </c>
      <c r="I9" s="15" t="n">
        <f aca="false">PRODUCT(H9*B15)</f>
        <v>17.5768</v>
      </c>
      <c r="J9" s="19"/>
      <c r="K9" s="17"/>
      <c r="L9" s="17"/>
    </row>
    <row r="10" customFormat="false" ht="24" hidden="false" customHeight="true" outlineLevel="0" collapsed="false">
      <c r="A10" s="12"/>
      <c r="B10" s="10" t="s">
        <v>18</v>
      </c>
      <c r="C10" s="10"/>
      <c r="D10" s="13" t="n">
        <v>13</v>
      </c>
      <c r="E10" s="14" t="n">
        <v>1.04</v>
      </c>
      <c r="F10" s="14" t="n">
        <v>13.52</v>
      </c>
      <c r="G10" s="18" t="n">
        <v>24.96</v>
      </c>
      <c r="H10" s="18" t="n">
        <v>20.44</v>
      </c>
      <c r="I10" s="15" t="n">
        <f aca="false">PRODUCT(H10*B15)</f>
        <v>20.76704</v>
      </c>
      <c r="J10" s="19" t="n">
        <f aca="false">I10+I9</f>
        <v>38.34384</v>
      </c>
      <c r="K10" s="17" t="s">
        <v>17</v>
      </c>
      <c r="L10" s="17"/>
    </row>
    <row r="11" customFormat="false" ht="24" hidden="false" customHeight="true" outlineLevel="0" collapsed="false">
      <c r="A11" s="12" t="s">
        <v>19</v>
      </c>
      <c r="B11" s="10" t="s">
        <v>12</v>
      </c>
      <c r="C11" s="10"/>
      <c r="D11" s="13" t="n">
        <v>12</v>
      </c>
      <c r="E11" s="14" t="n">
        <v>1.04</v>
      </c>
      <c r="F11" s="14" t="n">
        <v>12.48</v>
      </c>
      <c r="G11" s="18" t="n">
        <v>18.72</v>
      </c>
      <c r="H11" s="18" t="n">
        <v>18.88</v>
      </c>
      <c r="I11" s="15" t="n">
        <f aca="false">PRODUCT(H11*B15)</f>
        <v>19.18208</v>
      </c>
      <c r="J11" s="19" t="n">
        <f aca="false">I11+I12</f>
        <v>28.7528</v>
      </c>
      <c r="K11" s="17" t="s">
        <v>13</v>
      </c>
      <c r="L11" s="17"/>
    </row>
    <row r="12" customFormat="false" ht="24" hidden="false" customHeight="true" outlineLevel="0" collapsed="false">
      <c r="A12" s="12"/>
      <c r="B12" s="10" t="s">
        <v>14</v>
      </c>
      <c r="C12" s="10"/>
      <c r="D12" s="13" t="n">
        <v>6</v>
      </c>
      <c r="E12" s="14" t="n">
        <v>1.04</v>
      </c>
      <c r="F12" s="14" t="n">
        <v>6.24</v>
      </c>
      <c r="G12" s="18"/>
      <c r="H12" s="18" t="n">
        <v>9.42</v>
      </c>
      <c r="I12" s="15" t="n">
        <f aca="false">PRODUCT(H12*B15)</f>
        <v>9.57072</v>
      </c>
      <c r="J12" s="19"/>
      <c r="K12" s="17"/>
      <c r="L12" s="17"/>
    </row>
    <row r="13" customFormat="false" ht="24" hidden="false" customHeight="true" outlineLevel="0" collapsed="false">
      <c r="A13" s="12" t="s">
        <v>20</v>
      </c>
      <c r="B13" s="10" t="s">
        <v>12</v>
      </c>
      <c r="C13" s="10"/>
      <c r="D13" s="13" t="n">
        <v>21</v>
      </c>
      <c r="E13" s="14" t="n">
        <v>1.04</v>
      </c>
      <c r="F13" s="14" t="n">
        <v>21.84</v>
      </c>
      <c r="G13" s="18" t="n">
        <v>29.12</v>
      </c>
      <c r="H13" s="14" t="n">
        <v>33.02</v>
      </c>
      <c r="I13" s="15" t="n">
        <f aca="false">PRODUCT(H13*B15)</f>
        <v>33.54832</v>
      </c>
      <c r="J13" s="19" t="n">
        <f aca="false">I13+I14</f>
        <v>44.73448</v>
      </c>
      <c r="K13" s="17" t="s">
        <v>17</v>
      </c>
      <c r="L13" s="17"/>
    </row>
    <row r="14" customFormat="false" ht="24" hidden="false" customHeight="true" outlineLevel="0" collapsed="false">
      <c r="A14" s="12"/>
      <c r="B14" s="10" t="s">
        <v>14</v>
      </c>
      <c r="C14" s="10"/>
      <c r="D14" s="13" t="n">
        <v>7</v>
      </c>
      <c r="E14" s="14" t="n">
        <v>1.04</v>
      </c>
      <c r="F14" s="14" t="n">
        <v>7.28</v>
      </c>
      <c r="G14" s="18"/>
      <c r="H14" s="18" t="n">
        <v>11.01</v>
      </c>
      <c r="I14" s="15" t="n">
        <f aca="false">PRODUCT(H14*B15)</f>
        <v>11.18616</v>
      </c>
      <c r="J14" s="19"/>
      <c r="K14" s="17"/>
      <c r="L14" s="17"/>
    </row>
    <row r="15" customFormat="false" ht="61.5" hidden="false" customHeight="true" outlineLevel="0" collapsed="false">
      <c r="A15" s="20" t="s">
        <v>21</v>
      </c>
      <c r="B15" s="21" t="n">
        <v>1.016</v>
      </c>
      <c r="C15" s="22" t="s">
        <v>22</v>
      </c>
      <c r="D15" s="22"/>
      <c r="E15" s="22"/>
      <c r="F15" s="22"/>
      <c r="G15" s="22"/>
      <c r="H15" s="22"/>
      <c r="I15" s="22"/>
      <c r="J15" s="22"/>
      <c r="K15" s="22"/>
      <c r="L15" s="22"/>
    </row>
  </sheetData>
  <sheetProtection sheet="true" objects="true" scenarios="true"/>
  <mergeCells count="32">
    <mergeCell ref="A1:L1"/>
    <mergeCell ref="A2:L2"/>
    <mergeCell ref="A3:L4"/>
    <mergeCell ref="B5:C5"/>
    <mergeCell ref="K5:L5"/>
    <mergeCell ref="A6:A7"/>
    <mergeCell ref="B6:C6"/>
    <mergeCell ref="G6:G7"/>
    <mergeCell ref="J6:J7"/>
    <mergeCell ref="K6:L7"/>
    <mergeCell ref="B7:C7"/>
    <mergeCell ref="A8:A10"/>
    <mergeCell ref="B8:C8"/>
    <mergeCell ref="G8:G9"/>
    <mergeCell ref="J8:J9"/>
    <mergeCell ref="K8:L9"/>
    <mergeCell ref="B9:C9"/>
    <mergeCell ref="B10:C10"/>
    <mergeCell ref="K10:L10"/>
    <mergeCell ref="A11:A12"/>
    <mergeCell ref="B11:C11"/>
    <mergeCell ref="G11:G12"/>
    <mergeCell ref="J11:J12"/>
    <mergeCell ref="K11:L12"/>
    <mergeCell ref="B12:C12"/>
    <mergeCell ref="A13:A14"/>
    <mergeCell ref="B13:C13"/>
    <mergeCell ref="G13:G14"/>
    <mergeCell ref="J13:J14"/>
    <mergeCell ref="K13:L14"/>
    <mergeCell ref="B14:C14"/>
    <mergeCell ref="C15:L15"/>
  </mergeCells>
  <printOptions headings="false" gridLines="false" gridLinesSet="true" horizontalCentered="false" verticalCentered="false"/>
  <pageMargins left="0.7875" right="0.7875" top="1.05277777777778" bottom="1.05277777777778" header="0.7875" footer="0.7875"/>
  <pageSetup paperSize="8" scale="125" fitToWidth="1" fitToHeight="1" pageOrder="downThenOver" orientation="landscape" blackAndWhite="false" draft="false" cellComments="none" horizontalDpi="300" verticalDpi="300" copies="1"/>
  <headerFooter differentFirst="false" differentOddEven="false">
    <oddHeader>&amp;C&amp;"Times New Roman,Normale"&amp;12&amp;A</oddHeader>
    <oddFooter>&amp;C&amp;"Times New Roman,Normale"&amp;12Pagina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59"/>
  <sheetViews>
    <sheetView showFormulas="false" showGridLines="true" showRowColHeaders="true" showZeros="true" rightToLeft="false" tabSelected="false" showOutlineSymbols="true" defaultGridColor="true" view="normal" topLeftCell="E34" colorId="64" zoomScale="125" zoomScaleNormal="125" zoomScalePageLayoutView="100" workbookViewId="0">
      <selection pane="topLeft" activeCell="G61" activeCellId="0" sqref="G61"/>
    </sheetView>
  </sheetViews>
  <sheetFormatPr defaultColWidth="8.625" defaultRowHeight="13.2" zeroHeight="false" outlineLevelRow="0" outlineLevelCol="0"/>
  <cols>
    <col collapsed="false" customWidth="true" hidden="false" outlineLevel="0" max="15" min="15" style="1" width="20.97"/>
  </cols>
  <sheetData>
    <row r="1" customFormat="false" ht="13.2" hidden="false" customHeight="true" outlineLevel="0" collapsed="false">
      <c r="A1" s="69" t="n">
        <v>0</v>
      </c>
      <c r="B1" s="70"/>
      <c r="C1" s="70"/>
      <c r="D1" s="70"/>
      <c r="E1" s="70"/>
      <c r="F1" s="70"/>
      <c r="G1" s="70"/>
      <c r="H1" s="70"/>
      <c r="I1" s="70"/>
      <c r="J1" s="70"/>
      <c r="K1" s="70"/>
      <c r="L1" s="70"/>
      <c r="M1" s="70"/>
      <c r="N1" s="70"/>
      <c r="O1" s="71"/>
    </row>
    <row r="2" customFormat="false" ht="15.6" hidden="false" customHeight="true" outlineLevel="0" collapsed="false">
      <c r="A2" s="72" t="s">
        <v>102</v>
      </c>
      <c r="B2" s="72"/>
      <c r="C2" s="72"/>
      <c r="D2" s="72"/>
      <c r="E2" s="72"/>
      <c r="F2" s="72"/>
      <c r="G2" s="72"/>
      <c r="H2" s="72"/>
      <c r="I2" s="72"/>
      <c r="J2" s="72"/>
      <c r="K2" s="72"/>
      <c r="L2" s="72"/>
      <c r="M2" s="72"/>
      <c r="N2" s="72"/>
      <c r="O2" s="72"/>
    </row>
    <row r="3" customFormat="false" ht="13.2" hidden="false" customHeight="true" outlineLevel="0" collapsed="false">
      <c r="A3" s="73"/>
      <c r="B3" s="54"/>
      <c r="C3" s="54"/>
      <c r="D3" s="54"/>
      <c r="E3" s="54"/>
      <c r="F3" s="54"/>
      <c r="G3" s="54"/>
      <c r="H3" s="54"/>
      <c r="I3" s="54"/>
      <c r="J3" s="54"/>
      <c r="K3" s="54"/>
      <c r="L3" s="54"/>
      <c r="M3" s="54"/>
      <c r="N3" s="54"/>
      <c r="O3" s="74"/>
    </row>
    <row r="4" customFormat="false" ht="13.2" hidden="false" customHeight="true" outlineLevel="0" collapsed="false">
      <c r="A4" s="75" t="s">
        <v>103</v>
      </c>
      <c r="B4" s="75"/>
      <c r="C4" s="75"/>
      <c r="D4" s="75"/>
      <c r="E4" s="75"/>
      <c r="F4" s="75"/>
      <c r="G4" s="75"/>
      <c r="H4" s="75"/>
      <c r="I4" s="75"/>
      <c r="J4" s="75"/>
      <c r="K4" s="75"/>
      <c r="L4" s="75"/>
      <c r="M4" s="75"/>
      <c r="N4" s="75"/>
      <c r="O4" s="75"/>
    </row>
    <row r="5" customFormat="false" ht="13.2" hidden="false" customHeight="true" outlineLevel="0" collapsed="false">
      <c r="A5" s="73"/>
      <c r="B5" s="54"/>
      <c r="C5" s="54"/>
      <c r="D5" s="54"/>
      <c r="E5" s="54"/>
      <c r="F5" s="54"/>
      <c r="G5" s="54"/>
      <c r="H5" s="54"/>
      <c r="I5" s="54"/>
      <c r="J5" s="54"/>
      <c r="K5" s="54"/>
      <c r="L5" s="54"/>
      <c r="M5" s="54"/>
      <c r="N5" s="54"/>
      <c r="O5" s="74"/>
    </row>
    <row r="6" customFormat="false" ht="13.2" hidden="false" customHeight="true" outlineLevel="0" collapsed="false">
      <c r="A6" s="76" t="s">
        <v>11</v>
      </c>
      <c r="B6" s="76"/>
      <c r="C6" s="76"/>
      <c r="D6" s="76"/>
      <c r="E6" s="76"/>
      <c r="F6" s="76"/>
      <c r="G6" s="76"/>
      <c r="H6" s="76"/>
      <c r="I6" s="76"/>
      <c r="J6" s="76"/>
      <c r="K6" s="76"/>
      <c r="L6" s="76"/>
      <c r="M6" s="76"/>
      <c r="N6" s="76"/>
      <c r="O6" s="76"/>
    </row>
    <row r="7" customFormat="false" ht="13.2" hidden="false" customHeight="true" outlineLevel="0" collapsed="false">
      <c r="A7" s="73"/>
      <c r="B7" s="54"/>
      <c r="C7" s="54"/>
      <c r="D7" s="54"/>
      <c r="E7" s="54"/>
      <c r="F7" s="54"/>
      <c r="G7" s="54"/>
      <c r="H7" s="54"/>
      <c r="I7" s="54"/>
      <c r="J7" s="54"/>
      <c r="K7" s="54"/>
      <c r="L7" s="54"/>
      <c r="M7" s="54"/>
      <c r="N7" s="54"/>
      <c r="O7" s="74"/>
    </row>
    <row r="8" customFormat="false" ht="13.2" hidden="false" customHeight="true" outlineLevel="0" collapsed="false">
      <c r="A8" s="77" t="s">
        <v>104</v>
      </c>
      <c r="B8" s="77"/>
      <c r="C8" s="77"/>
      <c r="D8" s="77"/>
      <c r="E8" s="77"/>
      <c r="F8" s="77"/>
      <c r="G8" s="77"/>
      <c r="H8" s="77"/>
      <c r="I8" s="77"/>
      <c r="J8" s="77"/>
      <c r="K8" s="78" t="n">
        <v>0.09</v>
      </c>
      <c r="L8" s="54"/>
      <c r="M8" s="54"/>
      <c r="N8" s="54"/>
      <c r="O8" s="74"/>
    </row>
    <row r="9" customFormat="false" ht="13.2" hidden="false" customHeight="true" outlineLevel="0" collapsed="false">
      <c r="A9" s="77" t="s">
        <v>105</v>
      </c>
      <c r="B9" s="77"/>
      <c r="C9" s="77"/>
      <c r="D9" s="77"/>
      <c r="E9" s="77"/>
      <c r="F9" s="77"/>
      <c r="G9" s="77"/>
      <c r="H9" s="77"/>
      <c r="I9" s="77"/>
      <c r="J9" s="77"/>
      <c r="K9" s="78" t="n">
        <v>0.08</v>
      </c>
      <c r="L9" s="54"/>
      <c r="M9" s="54"/>
      <c r="N9" s="54"/>
      <c r="O9" s="74"/>
    </row>
    <row r="10" customFormat="false" ht="13.2" hidden="false" customHeight="true" outlineLevel="0" collapsed="false">
      <c r="A10" s="77" t="s">
        <v>106</v>
      </c>
      <c r="B10" s="77"/>
      <c r="C10" s="77"/>
      <c r="D10" s="77"/>
      <c r="E10" s="77"/>
      <c r="F10" s="77"/>
      <c r="G10" s="77"/>
      <c r="H10" s="77"/>
      <c r="I10" s="77"/>
      <c r="J10" s="77"/>
      <c r="K10" s="78" t="n">
        <v>0.08</v>
      </c>
      <c r="L10" s="54"/>
      <c r="M10" s="54"/>
      <c r="N10" s="54"/>
      <c r="O10" s="74"/>
    </row>
    <row r="11" customFormat="false" ht="13.2" hidden="false" customHeight="true" outlineLevel="0" collapsed="false">
      <c r="A11" s="77" t="s">
        <v>107</v>
      </c>
      <c r="B11" s="77"/>
      <c r="C11" s="77"/>
      <c r="D11" s="77"/>
      <c r="E11" s="77"/>
      <c r="F11" s="77"/>
      <c r="G11" s="77"/>
      <c r="H11" s="77"/>
      <c r="I11" s="77"/>
      <c r="J11" s="77"/>
      <c r="K11" s="78" t="n">
        <v>0.07</v>
      </c>
      <c r="L11" s="54"/>
      <c r="M11" s="54"/>
      <c r="N11" s="54"/>
      <c r="O11" s="74"/>
    </row>
    <row r="12" customFormat="false" ht="13.2" hidden="false" customHeight="true" outlineLevel="0" collapsed="false">
      <c r="A12" s="77" t="s">
        <v>108</v>
      </c>
      <c r="B12" s="77"/>
      <c r="C12" s="77"/>
      <c r="D12" s="77"/>
      <c r="E12" s="77"/>
      <c r="F12" s="77"/>
      <c r="G12" s="77"/>
      <c r="H12" s="77"/>
      <c r="I12" s="77"/>
      <c r="J12" s="77"/>
      <c r="K12" s="78" t="n">
        <v>0.07</v>
      </c>
      <c r="L12" s="54"/>
      <c r="M12" s="54"/>
      <c r="N12" s="54"/>
      <c r="O12" s="74"/>
    </row>
    <row r="13" customFormat="false" ht="13.2" hidden="false" customHeight="true" outlineLevel="0" collapsed="false">
      <c r="A13" s="77" t="s">
        <v>109</v>
      </c>
      <c r="B13" s="77"/>
      <c r="C13" s="77"/>
      <c r="D13" s="77"/>
      <c r="E13" s="77"/>
      <c r="F13" s="77"/>
      <c r="G13" s="77"/>
      <c r="H13" s="77"/>
      <c r="I13" s="77"/>
      <c r="J13" s="77"/>
      <c r="K13" s="78" t="n">
        <v>0.1</v>
      </c>
      <c r="L13" s="54"/>
      <c r="M13" s="54"/>
      <c r="N13" s="54"/>
      <c r="O13" s="74"/>
    </row>
    <row r="14" customFormat="false" ht="13.2" hidden="false" customHeight="true" outlineLevel="0" collapsed="false">
      <c r="A14" s="73"/>
      <c r="B14" s="54"/>
      <c r="C14" s="54"/>
      <c r="D14" s="54"/>
      <c r="E14" s="54"/>
      <c r="F14" s="54"/>
      <c r="G14" s="54"/>
      <c r="H14" s="54"/>
      <c r="I14" s="54"/>
      <c r="J14" s="54"/>
      <c r="K14" s="54"/>
      <c r="L14" s="54"/>
      <c r="M14" s="54"/>
      <c r="N14" s="54"/>
      <c r="O14" s="74"/>
    </row>
    <row r="15" customFormat="false" ht="13.2" hidden="false" customHeight="true" outlineLevel="0" collapsed="false">
      <c r="A15" s="76" t="s">
        <v>110</v>
      </c>
      <c r="B15" s="76"/>
      <c r="C15" s="76"/>
      <c r="D15" s="76"/>
      <c r="E15" s="76"/>
      <c r="F15" s="76"/>
      <c r="G15" s="76"/>
      <c r="H15" s="76"/>
      <c r="I15" s="76"/>
      <c r="J15" s="76"/>
      <c r="K15" s="76"/>
      <c r="L15" s="76"/>
      <c r="M15" s="76"/>
      <c r="N15" s="76"/>
      <c r="O15" s="76"/>
    </row>
    <row r="16" customFormat="false" ht="13.2" hidden="false" customHeight="true" outlineLevel="0" collapsed="false">
      <c r="A16" s="73"/>
      <c r="B16" s="54"/>
      <c r="C16" s="54"/>
      <c r="D16" s="54"/>
      <c r="E16" s="54"/>
      <c r="F16" s="54"/>
      <c r="G16" s="54"/>
      <c r="H16" s="54"/>
      <c r="I16" s="54"/>
      <c r="J16" s="54"/>
      <c r="K16" s="54"/>
      <c r="L16" s="54"/>
      <c r="M16" s="54"/>
      <c r="N16" s="54"/>
      <c r="O16" s="74"/>
    </row>
    <row r="17" customFormat="false" ht="13.2" hidden="false" customHeight="true" outlineLevel="0" collapsed="false">
      <c r="A17" s="76" t="s">
        <v>111</v>
      </c>
      <c r="B17" s="76"/>
      <c r="C17" s="76"/>
      <c r="D17" s="76"/>
      <c r="E17" s="76"/>
      <c r="F17" s="76"/>
      <c r="G17" s="76"/>
      <c r="H17" s="76"/>
      <c r="I17" s="76"/>
      <c r="J17" s="76"/>
      <c r="K17" s="76"/>
      <c r="L17" s="76"/>
      <c r="M17" s="76"/>
      <c r="N17" s="76"/>
      <c r="O17" s="76"/>
    </row>
    <row r="18" customFormat="false" ht="13.2" hidden="false" customHeight="true" outlineLevel="0" collapsed="false">
      <c r="A18" s="73"/>
      <c r="B18" s="54"/>
      <c r="C18" s="54"/>
      <c r="D18" s="54"/>
      <c r="E18" s="54"/>
      <c r="F18" s="54"/>
      <c r="G18" s="54"/>
      <c r="H18" s="54"/>
      <c r="I18" s="54"/>
      <c r="J18" s="54"/>
      <c r="K18" s="54"/>
      <c r="L18" s="54"/>
      <c r="M18" s="54"/>
      <c r="N18" s="54"/>
      <c r="O18" s="74"/>
    </row>
    <row r="19" customFormat="false" ht="13.2" hidden="false" customHeight="true" outlineLevel="0" collapsed="false">
      <c r="A19" s="73" t="s">
        <v>112</v>
      </c>
      <c r="B19" s="54"/>
      <c r="C19" s="54"/>
      <c r="D19" s="54"/>
      <c r="E19" s="54"/>
      <c r="F19" s="54"/>
      <c r="G19" s="54"/>
      <c r="H19" s="54"/>
      <c r="I19" s="54"/>
      <c r="J19" s="54"/>
      <c r="K19" s="54"/>
      <c r="L19" s="54"/>
      <c r="M19" s="54"/>
      <c r="N19" s="54"/>
      <c r="O19" s="74"/>
    </row>
    <row r="20" customFormat="false" ht="13.2" hidden="false" customHeight="true" outlineLevel="0" collapsed="false">
      <c r="A20" s="73"/>
      <c r="B20" s="54"/>
      <c r="C20" s="54"/>
      <c r="D20" s="54"/>
      <c r="E20" s="54"/>
      <c r="F20" s="54"/>
      <c r="G20" s="54"/>
      <c r="H20" s="54"/>
      <c r="I20" s="54"/>
      <c r="J20" s="54"/>
      <c r="K20" s="54"/>
      <c r="L20" s="54"/>
      <c r="M20" s="54"/>
      <c r="N20" s="54"/>
      <c r="O20" s="74"/>
    </row>
    <row r="21" customFormat="false" ht="13.2" hidden="false" customHeight="true" outlineLevel="0" collapsed="false">
      <c r="A21" s="73" t="s">
        <v>113</v>
      </c>
      <c r="B21" s="54"/>
      <c r="C21" s="54"/>
      <c r="D21" s="54"/>
      <c r="E21" s="54"/>
      <c r="F21" s="54"/>
      <c r="G21" s="54"/>
      <c r="H21" s="54"/>
      <c r="I21" s="54"/>
      <c r="J21" s="54"/>
      <c r="K21" s="54"/>
      <c r="L21" s="54"/>
      <c r="M21" s="54"/>
      <c r="N21" s="54"/>
      <c r="O21" s="74"/>
    </row>
    <row r="22" customFormat="false" ht="13.2" hidden="false" customHeight="true" outlineLevel="0" collapsed="false">
      <c r="A22" s="73"/>
      <c r="B22" s="54"/>
      <c r="C22" s="54"/>
      <c r="D22" s="54"/>
      <c r="E22" s="54"/>
      <c r="F22" s="54"/>
      <c r="G22" s="54"/>
      <c r="H22" s="54"/>
      <c r="I22" s="54"/>
      <c r="J22" s="54"/>
      <c r="K22" s="54"/>
      <c r="L22" s="54"/>
      <c r="M22" s="54"/>
      <c r="N22" s="54"/>
      <c r="O22" s="74"/>
    </row>
    <row r="23" customFormat="false" ht="13.2" hidden="false" customHeight="true" outlineLevel="0" collapsed="false">
      <c r="A23" s="73" t="s">
        <v>114</v>
      </c>
      <c r="B23" s="54"/>
      <c r="C23" s="54"/>
      <c r="D23" s="54"/>
      <c r="E23" s="54"/>
      <c r="F23" s="54"/>
      <c r="G23" s="54"/>
      <c r="H23" s="54"/>
      <c r="I23" s="54"/>
      <c r="J23" s="54"/>
      <c r="K23" s="54"/>
      <c r="L23" s="54"/>
      <c r="M23" s="54"/>
      <c r="N23" s="54"/>
      <c r="O23" s="74"/>
    </row>
    <row r="24" customFormat="false" ht="13.2" hidden="false" customHeight="true" outlineLevel="0" collapsed="false">
      <c r="A24" s="73"/>
      <c r="B24" s="54"/>
      <c r="C24" s="54"/>
      <c r="D24" s="54"/>
      <c r="E24" s="54"/>
      <c r="F24" s="54"/>
      <c r="G24" s="54"/>
      <c r="H24" s="54"/>
      <c r="I24" s="54"/>
      <c r="J24" s="54"/>
      <c r="K24" s="54"/>
      <c r="L24" s="54"/>
      <c r="M24" s="54"/>
      <c r="N24" s="54"/>
      <c r="O24" s="74"/>
    </row>
    <row r="25" customFormat="false" ht="13.2" hidden="false" customHeight="true" outlineLevel="0" collapsed="false">
      <c r="A25" s="73"/>
      <c r="B25" s="54"/>
      <c r="C25" s="54"/>
      <c r="D25" s="54"/>
      <c r="E25" s="54"/>
      <c r="F25" s="54"/>
      <c r="G25" s="54"/>
      <c r="H25" s="54"/>
      <c r="I25" s="54"/>
      <c r="J25" s="54"/>
      <c r="K25" s="54"/>
      <c r="L25" s="54"/>
      <c r="M25" s="54"/>
      <c r="N25" s="54"/>
      <c r="O25" s="74"/>
    </row>
    <row r="26" customFormat="false" ht="13.2" hidden="false" customHeight="true" outlineLevel="0" collapsed="false">
      <c r="A26" s="76" t="s">
        <v>115</v>
      </c>
      <c r="B26" s="76"/>
      <c r="C26" s="76"/>
      <c r="D26" s="76"/>
      <c r="E26" s="76"/>
      <c r="F26" s="76"/>
      <c r="G26" s="76"/>
      <c r="H26" s="76"/>
      <c r="I26" s="76"/>
      <c r="J26" s="76"/>
      <c r="K26" s="76"/>
      <c r="L26" s="76"/>
      <c r="M26" s="76"/>
      <c r="N26" s="76"/>
      <c r="O26" s="76"/>
    </row>
    <row r="27" customFormat="false" ht="13.2" hidden="false" customHeight="true" outlineLevel="0" collapsed="false">
      <c r="A27" s="73"/>
      <c r="B27" s="54"/>
      <c r="C27" s="54"/>
      <c r="D27" s="54"/>
      <c r="E27" s="54"/>
      <c r="F27" s="54"/>
      <c r="G27" s="54"/>
      <c r="H27" s="54"/>
      <c r="I27" s="54"/>
      <c r="J27" s="54"/>
      <c r="K27" s="54"/>
      <c r="L27" s="54"/>
      <c r="M27" s="54"/>
      <c r="N27" s="54"/>
      <c r="O27" s="74"/>
    </row>
    <row r="28" customFormat="false" ht="13.2" hidden="false" customHeight="true" outlineLevel="0" collapsed="false">
      <c r="A28" s="77" t="s">
        <v>116</v>
      </c>
      <c r="B28" s="77"/>
      <c r="C28" s="77"/>
      <c r="D28" s="77"/>
      <c r="E28" s="77"/>
      <c r="F28" s="77"/>
      <c r="G28" s="77"/>
      <c r="H28" s="77"/>
      <c r="I28" s="77"/>
      <c r="J28" s="77"/>
      <c r="K28" s="78" t="n">
        <v>0.05</v>
      </c>
      <c r="L28" s="54"/>
      <c r="M28" s="54"/>
      <c r="N28" s="54"/>
      <c r="O28" s="74"/>
    </row>
    <row r="29" customFormat="false" ht="13.2" hidden="false" customHeight="true" outlineLevel="0" collapsed="false">
      <c r="A29" s="77" t="s">
        <v>117</v>
      </c>
      <c r="B29" s="77"/>
      <c r="C29" s="77"/>
      <c r="D29" s="77"/>
      <c r="E29" s="77"/>
      <c r="F29" s="77"/>
      <c r="G29" s="77"/>
      <c r="H29" s="77"/>
      <c r="I29" s="77"/>
      <c r="J29" s="77"/>
      <c r="K29" s="78" t="n">
        <v>0.1</v>
      </c>
      <c r="L29" s="54"/>
      <c r="M29" s="54"/>
      <c r="N29" s="54"/>
      <c r="O29" s="74"/>
    </row>
    <row r="30" customFormat="false" ht="13.2" hidden="false" customHeight="true" outlineLevel="0" collapsed="false">
      <c r="A30" s="79"/>
      <c r="B30" s="80"/>
      <c r="C30" s="80"/>
      <c r="D30" s="80"/>
      <c r="E30" s="80"/>
      <c r="F30" s="80"/>
      <c r="G30" s="80"/>
      <c r="H30" s="80"/>
      <c r="I30" s="80"/>
      <c r="J30" s="80"/>
      <c r="K30" s="80"/>
      <c r="L30" s="80"/>
      <c r="M30" s="80"/>
      <c r="N30" s="80"/>
      <c r="O30" s="81"/>
    </row>
    <row r="31" customFormat="false" ht="13.2" hidden="false" customHeight="true" outlineLevel="0" collapsed="false">
      <c r="A31" s="82"/>
      <c r="B31" s="83"/>
      <c r="C31" s="83"/>
      <c r="D31" s="83"/>
      <c r="E31" s="83"/>
      <c r="F31" s="83"/>
      <c r="G31" s="83"/>
      <c r="H31" s="83"/>
      <c r="I31" s="83"/>
      <c r="J31" s="83"/>
      <c r="K31" s="83"/>
      <c r="L31" s="83"/>
      <c r="M31" s="83"/>
      <c r="N31" s="83"/>
      <c r="O31" s="84"/>
    </row>
    <row r="32" customFormat="false" ht="13.2" hidden="false" customHeight="true" outlineLevel="0" collapsed="false">
      <c r="A32" s="73"/>
      <c r="B32" s="54"/>
      <c r="C32" s="54"/>
      <c r="D32" s="54"/>
      <c r="E32" s="54"/>
      <c r="F32" s="54"/>
      <c r="G32" s="54"/>
      <c r="H32" s="54"/>
      <c r="I32" s="54"/>
      <c r="J32" s="54"/>
      <c r="K32" s="54"/>
      <c r="L32" s="54"/>
      <c r="M32" s="54"/>
      <c r="N32" s="54"/>
      <c r="O32" s="74"/>
    </row>
    <row r="33" customFormat="false" ht="13.2" hidden="false" customHeight="true" outlineLevel="0" collapsed="false">
      <c r="A33" s="85" t="s">
        <v>118</v>
      </c>
      <c r="B33" s="85"/>
      <c r="C33" s="85"/>
      <c r="D33" s="85"/>
      <c r="E33" s="85"/>
      <c r="F33" s="85"/>
      <c r="G33" s="85"/>
      <c r="H33" s="85"/>
      <c r="I33" s="85"/>
      <c r="J33" s="85"/>
      <c r="K33" s="78"/>
      <c r="L33" s="54"/>
      <c r="M33" s="54"/>
      <c r="N33" s="54"/>
      <c r="O33" s="74"/>
    </row>
    <row r="34" customFormat="false" ht="13.2" hidden="false" customHeight="true" outlineLevel="0" collapsed="false">
      <c r="A34" s="73"/>
      <c r="B34" s="54"/>
      <c r="C34" s="54"/>
      <c r="D34" s="54"/>
      <c r="E34" s="54"/>
      <c r="F34" s="54"/>
      <c r="G34" s="54"/>
      <c r="H34" s="54"/>
      <c r="I34" s="54"/>
      <c r="J34" s="54"/>
      <c r="K34" s="54"/>
      <c r="L34" s="54"/>
      <c r="M34" s="54"/>
      <c r="N34" s="54"/>
      <c r="O34" s="74"/>
    </row>
    <row r="35" customFormat="false" ht="13.2" hidden="false" customHeight="true" outlineLevel="0" collapsed="false">
      <c r="A35" s="76" t="s">
        <v>11</v>
      </c>
      <c r="B35" s="76"/>
      <c r="C35" s="76"/>
      <c r="D35" s="76"/>
      <c r="E35" s="76"/>
      <c r="F35" s="76"/>
      <c r="G35" s="76"/>
      <c r="H35" s="76"/>
      <c r="I35" s="76"/>
      <c r="J35" s="76"/>
      <c r="K35" s="76"/>
      <c r="L35" s="76"/>
      <c r="M35" s="76"/>
      <c r="N35" s="76"/>
      <c r="O35" s="76"/>
    </row>
    <row r="36" customFormat="false" ht="13.2" hidden="false" customHeight="true" outlineLevel="0" collapsed="false">
      <c r="A36" s="73"/>
      <c r="B36" s="54"/>
      <c r="C36" s="54"/>
      <c r="D36" s="54"/>
      <c r="E36" s="54"/>
      <c r="F36" s="54"/>
      <c r="G36" s="54"/>
      <c r="H36" s="54"/>
      <c r="I36" s="54"/>
      <c r="J36" s="54"/>
      <c r="K36" s="54"/>
      <c r="L36" s="54"/>
      <c r="M36" s="54"/>
      <c r="N36" s="54"/>
      <c r="O36" s="74"/>
    </row>
    <row r="37" customFormat="false" ht="13.2" hidden="false" customHeight="true" outlineLevel="0" collapsed="false">
      <c r="A37" s="77" t="s">
        <v>104</v>
      </c>
      <c r="B37" s="77"/>
      <c r="C37" s="77"/>
      <c r="D37" s="77"/>
      <c r="E37" s="77"/>
      <c r="F37" s="77"/>
      <c r="G37" s="77"/>
      <c r="H37" s="77"/>
      <c r="I37" s="77"/>
      <c r="J37" s="77"/>
      <c r="K37" s="78" t="n">
        <v>0.09</v>
      </c>
      <c r="L37" s="54"/>
      <c r="M37" s="54"/>
      <c r="N37" s="54"/>
      <c r="O37" s="74"/>
    </row>
    <row r="38" customFormat="false" ht="13.2" hidden="false" customHeight="true" outlineLevel="0" collapsed="false">
      <c r="A38" s="77" t="s">
        <v>105</v>
      </c>
      <c r="B38" s="77"/>
      <c r="C38" s="77"/>
      <c r="D38" s="77"/>
      <c r="E38" s="77"/>
      <c r="F38" s="77"/>
      <c r="G38" s="77"/>
      <c r="H38" s="77"/>
      <c r="I38" s="77"/>
      <c r="J38" s="77"/>
      <c r="K38" s="78" t="n">
        <v>0.08</v>
      </c>
      <c r="L38" s="54"/>
      <c r="M38" s="54"/>
      <c r="N38" s="54"/>
      <c r="O38" s="74"/>
    </row>
    <row r="39" customFormat="false" ht="13.2" hidden="false" customHeight="true" outlineLevel="0" collapsed="false">
      <c r="A39" s="77" t="s">
        <v>106</v>
      </c>
      <c r="B39" s="77"/>
      <c r="C39" s="77"/>
      <c r="D39" s="77"/>
      <c r="E39" s="77"/>
      <c r="F39" s="77"/>
      <c r="G39" s="77"/>
      <c r="H39" s="77"/>
      <c r="I39" s="77"/>
      <c r="J39" s="77"/>
      <c r="K39" s="78" t="n">
        <v>0.08</v>
      </c>
      <c r="L39" s="54"/>
      <c r="M39" s="54"/>
      <c r="N39" s="54"/>
      <c r="O39" s="74"/>
    </row>
    <row r="40" customFormat="false" ht="13.2" hidden="false" customHeight="true" outlineLevel="0" collapsed="false">
      <c r="A40" s="77" t="s">
        <v>107</v>
      </c>
      <c r="B40" s="77"/>
      <c r="C40" s="77"/>
      <c r="D40" s="77"/>
      <c r="E40" s="77"/>
      <c r="F40" s="77"/>
      <c r="G40" s="77"/>
      <c r="H40" s="77"/>
      <c r="I40" s="77"/>
      <c r="J40" s="77"/>
      <c r="K40" s="78" t="n">
        <v>0.07</v>
      </c>
      <c r="L40" s="54"/>
      <c r="M40" s="54"/>
      <c r="N40" s="54"/>
      <c r="O40" s="74"/>
    </row>
    <row r="41" customFormat="false" ht="13.2" hidden="false" customHeight="true" outlineLevel="0" collapsed="false">
      <c r="A41" s="77" t="s">
        <v>108</v>
      </c>
      <c r="B41" s="77"/>
      <c r="C41" s="77"/>
      <c r="D41" s="77"/>
      <c r="E41" s="77"/>
      <c r="F41" s="77"/>
      <c r="G41" s="77"/>
      <c r="H41" s="77"/>
      <c r="I41" s="77"/>
      <c r="J41" s="77"/>
      <c r="K41" s="78" t="n">
        <v>0.07</v>
      </c>
      <c r="L41" s="54"/>
      <c r="M41" s="54"/>
      <c r="N41" s="54"/>
      <c r="O41" s="74"/>
    </row>
    <row r="42" customFormat="false" ht="13.2" hidden="false" customHeight="true" outlineLevel="0" collapsed="false">
      <c r="A42" s="77" t="s">
        <v>109</v>
      </c>
      <c r="B42" s="77"/>
      <c r="C42" s="77"/>
      <c r="D42" s="77"/>
      <c r="E42" s="77"/>
      <c r="F42" s="77"/>
      <c r="G42" s="77"/>
      <c r="H42" s="77"/>
      <c r="I42" s="77"/>
      <c r="J42" s="77"/>
      <c r="K42" s="78" t="n">
        <v>0.1</v>
      </c>
      <c r="L42" s="54"/>
      <c r="M42" s="54"/>
      <c r="N42" s="54"/>
      <c r="O42" s="74"/>
    </row>
    <row r="43" customFormat="false" ht="13.2" hidden="false" customHeight="true" outlineLevel="0" collapsed="false">
      <c r="A43" s="73"/>
      <c r="B43" s="54"/>
      <c r="C43" s="54"/>
      <c r="D43" s="54"/>
      <c r="E43" s="54"/>
      <c r="F43" s="54"/>
      <c r="G43" s="54"/>
      <c r="H43" s="54"/>
      <c r="I43" s="54"/>
      <c r="J43" s="54"/>
      <c r="K43" s="54"/>
      <c r="L43" s="54"/>
      <c r="M43" s="54"/>
      <c r="N43" s="54"/>
      <c r="O43" s="74"/>
    </row>
    <row r="44" customFormat="false" ht="13.2" hidden="false" customHeight="true" outlineLevel="0" collapsed="false">
      <c r="A44" s="76" t="s">
        <v>110</v>
      </c>
      <c r="B44" s="76"/>
      <c r="C44" s="76"/>
      <c r="D44" s="76"/>
      <c r="E44" s="76"/>
      <c r="F44" s="76"/>
      <c r="G44" s="76"/>
      <c r="H44" s="76"/>
      <c r="I44" s="76"/>
      <c r="J44" s="76"/>
      <c r="K44" s="76"/>
      <c r="L44" s="76"/>
      <c r="M44" s="76"/>
      <c r="N44" s="76"/>
      <c r="O44" s="76"/>
    </row>
    <row r="45" customFormat="false" ht="13.2" hidden="false" customHeight="true" outlineLevel="0" collapsed="false">
      <c r="A45" s="73"/>
      <c r="B45" s="54"/>
      <c r="C45" s="54"/>
      <c r="D45" s="54"/>
      <c r="E45" s="54"/>
      <c r="F45" s="54"/>
      <c r="G45" s="54"/>
      <c r="H45" s="54"/>
      <c r="I45" s="54"/>
      <c r="J45" s="54"/>
      <c r="K45" s="54"/>
      <c r="L45" s="54"/>
      <c r="M45" s="54"/>
      <c r="N45" s="54"/>
      <c r="O45" s="74"/>
    </row>
    <row r="46" customFormat="false" ht="13.2" hidden="false" customHeight="true" outlineLevel="0" collapsed="false">
      <c r="A46" s="76" t="s">
        <v>111</v>
      </c>
      <c r="B46" s="76"/>
      <c r="C46" s="76"/>
      <c r="D46" s="76"/>
      <c r="E46" s="76"/>
      <c r="F46" s="76"/>
      <c r="G46" s="76"/>
      <c r="H46" s="76"/>
      <c r="I46" s="76"/>
      <c r="J46" s="76"/>
      <c r="K46" s="76"/>
      <c r="L46" s="76"/>
      <c r="M46" s="76"/>
      <c r="N46" s="76"/>
      <c r="O46" s="76"/>
    </row>
    <row r="47" customFormat="false" ht="13.2" hidden="false" customHeight="true" outlineLevel="0" collapsed="false">
      <c r="A47" s="73"/>
      <c r="B47" s="54"/>
      <c r="C47" s="54"/>
      <c r="D47" s="54"/>
      <c r="E47" s="54"/>
      <c r="F47" s="54"/>
      <c r="G47" s="54"/>
      <c r="H47" s="54"/>
      <c r="I47" s="54"/>
      <c r="J47" s="54"/>
      <c r="K47" s="54"/>
      <c r="L47" s="54"/>
      <c r="M47" s="54"/>
      <c r="N47" s="54"/>
      <c r="O47" s="74"/>
    </row>
    <row r="48" customFormat="false" ht="13.2" hidden="false" customHeight="true" outlineLevel="0" collapsed="false">
      <c r="A48" s="73" t="s">
        <v>112</v>
      </c>
      <c r="B48" s="54"/>
      <c r="C48" s="54"/>
      <c r="D48" s="54"/>
      <c r="E48" s="54"/>
      <c r="F48" s="54"/>
      <c r="G48" s="54"/>
      <c r="H48" s="54"/>
      <c r="I48" s="54"/>
      <c r="J48" s="54"/>
      <c r="K48" s="54"/>
      <c r="L48" s="54"/>
      <c r="M48" s="54"/>
      <c r="N48" s="54"/>
      <c r="O48" s="74"/>
    </row>
    <row r="49" customFormat="false" ht="13.2" hidden="false" customHeight="true" outlineLevel="0" collapsed="false">
      <c r="A49" s="73"/>
      <c r="B49" s="54"/>
      <c r="C49" s="54"/>
      <c r="D49" s="54"/>
      <c r="E49" s="54"/>
      <c r="F49" s="54"/>
      <c r="G49" s="54"/>
      <c r="H49" s="54"/>
      <c r="I49" s="54"/>
      <c r="J49" s="54"/>
      <c r="K49" s="54"/>
      <c r="L49" s="54"/>
      <c r="M49" s="54"/>
      <c r="N49" s="54"/>
      <c r="O49" s="74"/>
    </row>
    <row r="50" customFormat="false" ht="13.2" hidden="false" customHeight="true" outlineLevel="0" collapsed="false">
      <c r="A50" s="73" t="s">
        <v>113</v>
      </c>
      <c r="B50" s="54"/>
      <c r="C50" s="54"/>
      <c r="D50" s="54"/>
      <c r="E50" s="54"/>
      <c r="F50" s="54"/>
      <c r="G50" s="54"/>
      <c r="H50" s="54"/>
      <c r="I50" s="54"/>
      <c r="J50" s="54"/>
      <c r="K50" s="54"/>
      <c r="L50" s="54"/>
      <c r="M50" s="54"/>
      <c r="N50" s="54"/>
      <c r="O50" s="74"/>
    </row>
    <row r="51" customFormat="false" ht="13.2" hidden="false" customHeight="true" outlineLevel="0" collapsed="false">
      <c r="A51" s="73"/>
      <c r="B51" s="54"/>
      <c r="C51" s="54"/>
      <c r="D51" s="54"/>
      <c r="E51" s="54"/>
      <c r="F51" s="54"/>
      <c r="G51" s="54"/>
      <c r="H51" s="54"/>
      <c r="I51" s="54"/>
      <c r="J51" s="54"/>
      <c r="K51" s="54"/>
      <c r="L51" s="54"/>
      <c r="M51" s="54"/>
      <c r="N51" s="54"/>
      <c r="O51" s="74"/>
    </row>
    <row r="52" customFormat="false" ht="13.2" hidden="false" customHeight="true" outlineLevel="0" collapsed="false">
      <c r="A52" s="73" t="s">
        <v>114</v>
      </c>
      <c r="B52" s="54"/>
      <c r="C52" s="54"/>
      <c r="D52" s="54"/>
      <c r="E52" s="54"/>
      <c r="F52" s="54"/>
      <c r="G52" s="54"/>
      <c r="H52" s="54"/>
      <c r="I52" s="54"/>
      <c r="J52" s="54"/>
      <c r="K52" s="54"/>
      <c r="L52" s="54"/>
      <c r="M52" s="54"/>
      <c r="N52" s="54"/>
      <c r="O52" s="74"/>
    </row>
    <row r="53" customFormat="false" ht="13.2" hidden="false" customHeight="true" outlineLevel="0" collapsed="false">
      <c r="A53" s="73"/>
      <c r="B53" s="54"/>
      <c r="C53" s="54"/>
      <c r="D53" s="54"/>
      <c r="E53" s="54"/>
      <c r="F53" s="54"/>
      <c r="G53" s="54"/>
      <c r="H53" s="54"/>
      <c r="I53" s="54"/>
      <c r="J53" s="54"/>
      <c r="K53" s="54"/>
      <c r="L53" s="54"/>
      <c r="M53" s="54"/>
      <c r="N53" s="54"/>
      <c r="O53" s="74"/>
    </row>
    <row r="54" customFormat="false" ht="13.2" hidden="false" customHeight="true" outlineLevel="0" collapsed="false">
      <c r="A54" s="73"/>
      <c r="B54" s="54"/>
      <c r="C54" s="54"/>
      <c r="D54" s="54"/>
      <c r="E54" s="54"/>
      <c r="F54" s="54"/>
      <c r="G54" s="54"/>
      <c r="H54" s="54"/>
      <c r="I54" s="54"/>
      <c r="J54" s="54"/>
      <c r="K54" s="54"/>
      <c r="L54" s="54"/>
      <c r="M54" s="54"/>
      <c r="N54" s="54"/>
      <c r="O54" s="74"/>
    </row>
    <row r="55" customFormat="false" ht="13.2" hidden="false" customHeight="true" outlineLevel="0" collapsed="false">
      <c r="A55" s="76" t="s">
        <v>115</v>
      </c>
      <c r="B55" s="76"/>
      <c r="C55" s="76"/>
      <c r="D55" s="76"/>
      <c r="E55" s="76"/>
      <c r="F55" s="76"/>
      <c r="G55" s="76"/>
      <c r="H55" s="76"/>
      <c r="I55" s="76"/>
      <c r="J55" s="76"/>
      <c r="K55" s="76"/>
      <c r="L55" s="76"/>
      <c r="M55" s="76"/>
      <c r="N55" s="76"/>
      <c r="O55" s="76"/>
    </row>
    <row r="56" customFormat="false" ht="13.2" hidden="false" customHeight="true" outlineLevel="0" collapsed="false">
      <c r="A56" s="73"/>
      <c r="B56" s="54"/>
      <c r="C56" s="54"/>
      <c r="D56" s="54"/>
      <c r="E56" s="54"/>
      <c r="F56" s="54"/>
      <c r="G56" s="54"/>
      <c r="H56" s="54"/>
      <c r="I56" s="54"/>
      <c r="J56" s="54"/>
      <c r="K56" s="54"/>
      <c r="L56" s="54"/>
      <c r="M56" s="54"/>
      <c r="N56" s="54"/>
      <c r="O56" s="74"/>
    </row>
    <row r="57" customFormat="false" ht="13.2" hidden="false" customHeight="true" outlineLevel="0" collapsed="false">
      <c r="A57" s="77" t="s">
        <v>119</v>
      </c>
      <c r="B57" s="77"/>
      <c r="C57" s="77"/>
      <c r="D57" s="77"/>
      <c r="E57" s="77"/>
      <c r="F57" s="77"/>
      <c r="G57" s="77"/>
      <c r="H57" s="77"/>
      <c r="I57" s="77"/>
      <c r="J57" s="77"/>
      <c r="K57" s="78" t="n">
        <v>0.05</v>
      </c>
      <c r="L57" s="54"/>
      <c r="M57" s="54"/>
      <c r="N57" s="54"/>
      <c r="O57" s="74"/>
    </row>
    <row r="58" customFormat="false" ht="13.2" hidden="false" customHeight="true" outlineLevel="0" collapsed="false">
      <c r="A58" s="79"/>
      <c r="B58" s="80"/>
      <c r="C58" s="80"/>
      <c r="D58" s="80"/>
      <c r="E58" s="80"/>
      <c r="F58" s="80"/>
      <c r="G58" s="80"/>
      <c r="H58" s="80"/>
      <c r="I58" s="80"/>
      <c r="J58" s="80"/>
      <c r="K58" s="80"/>
      <c r="L58" s="80"/>
      <c r="M58" s="80"/>
      <c r="N58" s="80"/>
      <c r="O58" s="81"/>
    </row>
    <row r="59" customFormat="false" ht="88.2" hidden="false" customHeight="true" outlineLevel="0" collapsed="false">
      <c r="A59" s="86" t="s">
        <v>120</v>
      </c>
      <c r="B59" s="86"/>
      <c r="C59" s="86"/>
      <c r="D59" s="86"/>
      <c r="E59" s="86"/>
      <c r="F59" s="86"/>
      <c r="G59" s="86"/>
      <c r="H59" s="86"/>
      <c r="I59" s="86"/>
      <c r="J59" s="86"/>
      <c r="K59" s="86"/>
      <c r="L59" s="86"/>
      <c r="M59" s="86"/>
      <c r="N59" s="86"/>
      <c r="O59" s="86"/>
    </row>
  </sheetData>
  <sheetProtection sheet="true" objects="true" scenarios="true"/>
  <mergeCells count="27">
    <mergeCell ref="A2:O2"/>
    <mergeCell ref="A4:O4"/>
    <mergeCell ref="A6:O6"/>
    <mergeCell ref="A8:J8"/>
    <mergeCell ref="A9:J9"/>
    <mergeCell ref="A10:J10"/>
    <mergeCell ref="A11:J11"/>
    <mergeCell ref="A12:J12"/>
    <mergeCell ref="A13:J13"/>
    <mergeCell ref="A15:O15"/>
    <mergeCell ref="A17:O17"/>
    <mergeCell ref="A26:O26"/>
    <mergeCell ref="A28:J28"/>
    <mergeCell ref="A29:J29"/>
    <mergeCell ref="A33:J33"/>
    <mergeCell ref="A35:O35"/>
    <mergeCell ref="A37:J37"/>
    <mergeCell ref="A38:J38"/>
    <mergeCell ref="A39:J39"/>
    <mergeCell ref="A40:J40"/>
    <mergeCell ref="A41:J41"/>
    <mergeCell ref="A42:J42"/>
    <mergeCell ref="A44:O44"/>
    <mergeCell ref="A46:O46"/>
    <mergeCell ref="A55:O55"/>
    <mergeCell ref="A57:J57"/>
    <mergeCell ref="A59:O59"/>
  </mergeCells>
  <printOptions headings="false" gridLines="false" gridLinesSet="true" horizontalCentered="true" verticalCentered="false"/>
  <pageMargins left="0.7875" right="0.7875" top="1.05277777777778" bottom="1.05277777777778" header="0.7875" footer="0.7875"/>
  <pageSetup paperSize="8" scale="70" fitToWidth="1" fitToHeight="1" pageOrder="downThenOver" orientation="landscape" blackAndWhite="false" draft="false" cellComments="none" horizontalDpi="300" verticalDpi="300" copies="1"/>
  <headerFooter differentFirst="false" differentOddEven="false">
    <oddHeader>&amp;C&amp;"Times New Roman,Normale"&amp;12&amp;A</oddHeader>
    <oddFooter>&amp;C&amp;"Times New Roman,Normale"&amp;12Pagina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50"/>
  <sheetViews>
    <sheetView showFormulas="false" showGridLines="true" showRowColHeaders="true" showZeros="true" rightToLeft="false" tabSelected="false" showOutlineSymbols="true" defaultGridColor="true" view="normal" topLeftCell="A1" colorId="64" zoomScale="105" zoomScaleNormal="105" zoomScalePageLayoutView="100" workbookViewId="0">
      <selection pane="topLeft" activeCell="B34" activeCellId="0" sqref="B34"/>
    </sheetView>
  </sheetViews>
  <sheetFormatPr defaultColWidth="8.2890625" defaultRowHeight="13.2" zeroHeight="false" outlineLevelRow="0" outlineLevelCol="0"/>
  <cols>
    <col collapsed="false" customWidth="true" hidden="false" outlineLevel="0" max="1" min="1" style="87" width="22.29"/>
    <col collapsed="false" customWidth="true" hidden="false" outlineLevel="0" max="2" min="2" style="87" width="93.5"/>
    <col collapsed="false" customWidth="true" hidden="false" outlineLevel="0" max="57" min="3" style="88" width="8.49"/>
  </cols>
  <sheetData>
    <row r="1" customFormat="false" ht="13.8" hidden="false" customHeight="true" outlineLevel="0" collapsed="false">
      <c r="A1" s="89"/>
      <c r="B1" s="89" t="s">
        <v>121</v>
      </c>
    </row>
    <row r="2" customFormat="false" ht="13.8" hidden="false" customHeight="true" outlineLevel="0" collapsed="false">
      <c r="A2" s="89"/>
      <c r="B2" s="89" t="s">
        <v>122</v>
      </c>
    </row>
    <row r="3" customFormat="false" ht="8.25" hidden="false" customHeight="true" outlineLevel="0" collapsed="false">
      <c r="A3" s="89"/>
      <c r="B3" s="89"/>
    </row>
    <row r="4" customFormat="false" ht="13.8" hidden="false" customHeight="true" outlineLevel="0" collapsed="false">
      <c r="A4" s="89"/>
      <c r="B4" s="90" t="s">
        <v>123</v>
      </c>
    </row>
    <row r="5" customFormat="false" ht="13.8" hidden="false" customHeight="true" outlineLevel="0" collapsed="false">
      <c r="A5" s="89"/>
      <c r="B5" s="89"/>
    </row>
    <row r="6" customFormat="false" ht="27.6" hidden="false" customHeight="true" outlineLevel="0" collapsed="false">
      <c r="A6" s="89"/>
      <c r="B6" s="91" t="s">
        <v>124</v>
      </c>
    </row>
    <row r="7" customFormat="false" ht="6" hidden="false" customHeight="true" outlineLevel="0" collapsed="false">
      <c r="A7" s="89"/>
      <c r="B7" s="89"/>
    </row>
    <row r="8" customFormat="false" ht="13.8" hidden="false" customHeight="true" outlineLevel="0" collapsed="false">
      <c r="A8" s="89"/>
      <c r="B8" s="91" t="s">
        <v>125</v>
      </c>
    </row>
    <row r="9" customFormat="false" ht="6" hidden="false" customHeight="true" outlineLevel="0" collapsed="false">
      <c r="A9" s="89"/>
      <c r="B9" s="91"/>
    </row>
    <row r="10" customFormat="false" ht="12.75" hidden="false" customHeight="true" outlineLevel="0" collapsed="false">
      <c r="A10" s="92" t="s">
        <v>126</v>
      </c>
      <c r="B10" s="91" t="s">
        <v>127</v>
      </c>
    </row>
    <row r="11" customFormat="false" ht="6" hidden="false" customHeight="true" outlineLevel="0" collapsed="false">
      <c r="A11" s="92"/>
      <c r="B11" s="91"/>
    </row>
    <row r="12" customFormat="false" ht="13.8" hidden="false" customHeight="true" outlineLevel="0" collapsed="false">
      <c r="A12" s="92" t="s">
        <v>128</v>
      </c>
      <c r="B12" s="91" t="s">
        <v>129</v>
      </c>
    </row>
    <row r="13" customFormat="false" ht="6" hidden="false" customHeight="true" outlineLevel="0" collapsed="false">
      <c r="A13" s="92"/>
      <c r="B13" s="91"/>
    </row>
    <row r="14" customFormat="false" ht="33" hidden="false" customHeight="true" outlineLevel="0" collapsed="false">
      <c r="A14" s="92" t="s">
        <v>130</v>
      </c>
      <c r="B14" s="91" t="s">
        <v>131</v>
      </c>
    </row>
    <row r="15" customFormat="false" ht="33" hidden="false" customHeight="true" outlineLevel="0" collapsed="false">
      <c r="A15" s="92" t="s">
        <v>132</v>
      </c>
      <c r="B15" s="91" t="s">
        <v>133</v>
      </c>
    </row>
    <row r="16" customFormat="false" ht="4.5" hidden="false" customHeight="true" outlineLevel="0" collapsed="false">
      <c r="A16" s="92"/>
      <c r="B16" s="91"/>
    </row>
    <row r="17" customFormat="false" ht="27.6" hidden="false" customHeight="true" outlineLevel="0" collapsed="false">
      <c r="A17" s="93" t="s">
        <v>134</v>
      </c>
      <c r="B17" s="91" t="s">
        <v>135</v>
      </c>
    </row>
    <row r="18" customFormat="false" ht="7.5" hidden="false" customHeight="true" outlineLevel="0" collapsed="false">
      <c r="A18" s="92"/>
      <c r="B18" s="91"/>
    </row>
    <row r="19" customFormat="false" ht="30.75" hidden="false" customHeight="true" outlineLevel="0" collapsed="false">
      <c r="A19" s="92" t="s">
        <v>136</v>
      </c>
      <c r="B19" s="91" t="s">
        <v>137</v>
      </c>
    </row>
    <row r="20" customFormat="false" ht="6" hidden="false" customHeight="true" outlineLevel="0" collapsed="false">
      <c r="A20" s="92"/>
      <c r="B20" s="91"/>
    </row>
    <row r="21" customFormat="false" ht="6" hidden="false" customHeight="true" outlineLevel="0" collapsed="false">
      <c r="A21" s="92"/>
      <c r="B21" s="91"/>
    </row>
    <row r="22" customFormat="false" ht="13.8" hidden="false" customHeight="true" outlineLevel="0" collapsed="false">
      <c r="A22" s="92" t="s">
        <v>138</v>
      </c>
      <c r="B22" s="91" t="s">
        <v>139</v>
      </c>
    </row>
    <row r="23" customFormat="false" ht="6" hidden="false" customHeight="true" outlineLevel="0" collapsed="false">
      <c r="A23" s="92"/>
      <c r="B23" s="91"/>
    </row>
    <row r="24" customFormat="false" ht="27.6" hidden="false" customHeight="true" outlineLevel="0" collapsed="false">
      <c r="A24" s="92" t="s">
        <v>140</v>
      </c>
      <c r="B24" s="91" t="s">
        <v>141</v>
      </c>
    </row>
    <row r="25" customFormat="false" ht="6" hidden="false" customHeight="true" outlineLevel="0" collapsed="false">
      <c r="A25" s="92"/>
      <c r="B25" s="91"/>
    </row>
    <row r="26" customFormat="false" ht="27.6" hidden="false" customHeight="true" outlineLevel="0" collapsed="false">
      <c r="A26" s="92" t="s">
        <v>142</v>
      </c>
      <c r="B26" s="91" t="s">
        <v>143</v>
      </c>
    </row>
    <row r="27" customFormat="false" ht="6" hidden="false" customHeight="true" outlineLevel="0" collapsed="false">
      <c r="A27" s="92"/>
      <c r="B27" s="91"/>
    </row>
    <row r="28" customFormat="false" ht="27.6" hidden="false" customHeight="true" outlineLevel="0" collapsed="false">
      <c r="A28" s="92" t="s">
        <v>144</v>
      </c>
      <c r="B28" s="91" t="s">
        <v>145</v>
      </c>
    </row>
    <row r="29" customFormat="false" ht="27.6" hidden="false" customHeight="true" outlineLevel="0" collapsed="false">
      <c r="A29" s="93" t="s">
        <v>146</v>
      </c>
      <c r="B29" s="91" t="s">
        <v>147</v>
      </c>
    </row>
    <row r="30" customFormat="false" ht="6" hidden="false" customHeight="true" outlineLevel="0" collapsed="false">
      <c r="A30" s="92"/>
      <c r="B30" s="91"/>
    </row>
    <row r="31" customFormat="false" ht="13.8" hidden="false" customHeight="true" outlineLevel="0" collapsed="false">
      <c r="A31" s="92" t="s">
        <v>148</v>
      </c>
      <c r="B31" s="91" t="s">
        <v>149</v>
      </c>
    </row>
    <row r="32" customFormat="false" ht="13.8" hidden="false" customHeight="true" outlineLevel="0" collapsed="false">
      <c r="A32" s="92"/>
      <c r="B32" s="91"/>
    </row>
    <row r="33" customFormat="false" ht="8.1" hidden="false" customHeight="true" outlineLevel="0" collapsed="false">
      <c r="A33" s="89"/>
      <c r="B33" s="91"/>
    </row>
    <row r="34" customFormat="false" ht="12.75" hidden="false" customHeight="true" outlineLevel="0" collapsed="false">
      <c r="A34" s="89"/>
      <c r="B34" s="94" t="s">
        <v>150</v>
      </c>
    </row>
    <row r="35" customFormat="false" ht="8.1" hidden="false" customHeight="true" outlineLevel="0" collapsed="false">
      <c r="A35" s="89"/>
      <c r="B35" s="91"/>
    </row>
    <row r="36" customFormat="false" ht="13.8" hidden="false" customHeight="true" outlineLevel="0" collapsed="false">
      <c r="A36" s="95" t="n">
        <v>1</v>
      </c>
      <c r="B36" s="89" t="s">
        <v>151</v>
      </c>
    </row>
    <row r="37" customFormat="false" ht="3.75" hidden="false" customHeight="true" outlineLevel="0" collapsed="false">
      <c r="A37" s="95"/>
      <c r="B37" s="89"/>
    </row>
    <row r="38" customFormat="false" ht="27.75" hidden="false" customHeight="true" outlineLevel="0" collapsed="false">
      <c r="A38" s="92" t="n">
        <v>2</v>
      </c>
      <c r="B38" s="96" t="s">
        <v>152</v>
      </c>
    </row>
    <row r="39" customFormat="false" ht="8.1" hidden="false" customHeight="true" outlineLevel="0" collapsed="false">
      <c r="A39" s="95"/>
      <c r="B39" s="89"/>
    </row>
    <row r="40" customFormat="false" ht="13.8" hidden="false" customHeight="true" outlineLevel="0" collapsed="false">
      <c r="A40" s="95" t="n">
        <v>3</v>
      </c>
      <c r="B40" s="89" t="s">
        <v>153</v>
      </c>
    </row>
    <row r="41" customFormat="false" ht="8.1" hidden="false" customHeight="true" outlineLevel="0" collapsed="false">
      <c r="A41" s="95"/>
      <c r="B41" s="89"/>
    </row>
    <row r="42" customFormat="false" ht="27.75" hidden="false" customHeight="true" outlineLevel="0" collapsed="false">
      <c r="A42" s="92" t="n">
        <v>4</v>
      </c>
      <c r="B42" s="91" t="s">
        <v>154</v>
      </c>
    </row>
    <row r="43" customFormat="false" ht="8.1" hidden="false" customHeight="true" outlineLevel="0" collapsed="false">
      <c r="A43" s="95"/>
      <c r="B43" s="89"/>
    </row>
    <row r="44" customFormat="false" ht="30.75" hidden="false" customHeight="true" outlineLevel="0" collapsed="false">
      <c r="A44" s="92" t="n">
        <v>5</v>
      </c>
      <c r="B44" s="91" t="s">
        <v>155</v>
      </c>
    </row>
    <row r="45" customFormat="false" ht="3.75" hidden="false" customHeight="true" outlineLevel="0" collapsed="false">
      <c r="A45" s="95"/>
      <c r="B45" s="89"/>
    </row>
    <row r="46" customFormat="false" ht="80.25" hidden="false" customHeight="true" outlineLevel="0" collapsed="false">
      <c r="A46" s="92" t="n">
        <v>6</v>
      </c>
      <c r="B46" s="91" t="s">
        <v>156</v>
      </c>
    </row>
    <row r="47" customFormat="false" ht="60.75" hidden="false" customHeight="true" outlineLevel="0" collapsed="false">
      <c r="A47" s="97"/>
      <c r="B47" s="91"/>
    </row>
    <row r="48" customFormat="false" ht="27" hidden="false" customHeight="true" outlineLevel="0" collapsed="false">
      <c r="A48" s="97"/>
    </row>
    <row r="49" customFormat="false" ht="1.5" hidden="false" customHeight="true" outlineLevel="0" collapsed="false">
      <c r="A49" s="89"/>
      <c r="B49" s="89"/>
    </row>
    <row r="50" customFormat="false" ht="48" hidden="false" customHeight="true" outlineLevel="0" collapsed="false">
      <c r="A50" s="98" t="s">
        <v>157</v>
      </c>
      <c r="B50" s="99" t="s">
        <v>158</v>
      </c>
    </row>
  </sheetData>
  <sheetProtection sheet="true" objects="true" scenarios="true"/>
  <printOptions headings="false" gridLines="false" gridLinesSet="true" horizontalCentered="true" verticalCentered="false"/>
  <pageMargins left="0.629861111111111" right="0.7875" top="0.984027777777778" bottom="0.983333333333333" header="0.511811023622047" footer="0.511805555555556"/>
  <pageSetup paperSize="8" scale="100" fitToWidth="1" fitToHeight="1" pageOrder="downThenOver" orientation="landscape" blackAndWhite="false" draft="false" cellComments="none" horizontalDpi="300" verticalDpi="300" copies="1"/>
  <headerFooter differentFirst="false" differentOddEven="false">
    <oddHeader/>
    <oddFooter>&amp;L&amp;F&amp;C&amp;A
&amp;D&amp;Rultima revisione marzo 2022</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M61"/>
  <sheetViews>
    <sheetView showFormulas="false" showGridLines="false" showRowColHeaders="true" showZeros="true" rightToLeft="false" tabSelected="false" showOutlineSymbols="true" defaultGridColor="true" view="normal" topLeftCell="A20" colorId="64" zoomScale="120" zoomScaleNormal="120" zoomScalePageLayoutView="100" workbookViewId="0">
      <selection pane="topLeft" activeCell="E52" activeCellId="0" sqref="E52"/>
    </sheetView>
  </sheetViews>
  <sheetFormatPr defaultColWidth="8.5078125" defaultRowHeight="13.8" zeroHeight="false" outlineLevelRow="0" outlineLevelCol="0"/>
  <cols>
    <col collapsed="false" customWidth="true" hidden="false" outlineLevel="0" max="1" min="1" style="100" width="4.73"/>
    <col collapsed="false" customWidth="true" hidden="false" outlineLevel="0" max="2" min="2" style="87" width="33.48"/>
    <col collapsed="false" customWidth="true" hidden="false" outlineLevel="0" max="3" min="3" style="101" width="10.29"/>
    <col collapsed="false" customWidth="true" hidden="false" outlineLevel="0" max="4" min="4" style="87" width="12.29"/>
    <col collapsed="false" customWidth="true" hidden="false" outlineLevel="0" max="5" min="5" style="102" width="14.52"/>
    <col collapsed="false" customWidth="true" hidden="false" outlineLevel="0" max="6" min="6" style="102" width="13.29"/>
    <col collapsed="false" customWidth="true" hidden="false" outlineLevel="0" max="7" min="7" style="102" width="9.52"/>
    <col collapsed="false" customWidth="false" hidden="false" outlineLevel="0" max="8" min="8" style="102" width="8.49"/>
    <col collapsed="false" customWidth="false" hidden="false" outlineLevel="0" max="12" min="9" style="103" width="8.49"/>
    <col collapsed="false" customWidth="false" hidden="false" outlineLevel="0" max="117" min="13" style="88" width="8.49"/>
    <col collapsed="false" customWidth="false" hidden="false" outlineLevel="0" max="257" min="118" style="1" width="8.49"/>
  </cols>
  <sheetData>
    <row r="1" customFormat="false" ht="13.8" hidden="false" customHeight="true" outlineLevel="0" collapsed="false">
      <c r="A1" s="104" t="s">
        <v>159</v>
      </c>
      <c r="B1" s="104"/>
      <c r="C1" s="104"/>
      <c r="D1" s="104"/>
      <c r="E1" s="104"/>
      <c r="F1" s="104"/>
      <c r="G1" s="105"/>
      <c r="H1" s="105"/>
    </row>
    <row r="2" customFormat="false" ht="17.25" hidden="false" customHeight="true" outlineLevel="0" collapsed="false">
      <c r="A2" s="106" t="s">
        <v>160</v>
      </c>
      <c r="B2" s="106"/>
      <c r="C2" s="106"/>
      <c r="D2" s="106"/>
      <c r="E2" s="106"/>
      <c r="F2" s="106"/>
      <c r="G2" s="107"/>
      <c r="H2" s="107"/>
    </row>
    <row r="3" customFormat="false" ht="6" hidden="false" customHeight="true" outlineLevel="0" collapsed="false"/>
    <row r="4" s="112" customFormat="true" ht="16.95" hidden="false" customHeight="true" outlineLevel="0" collapsed="false">
      <c r="A4" s="108" t="s">
        <v>11</v>
      </c>
      <c r="B4" s="108"/>
      <c r="C4" s="108"/>
      <c r="D4" s="108"/>
      <c r="E4" s="108"/>
      <c r="F4" s="108"/>
      <c r="G4" s="109"/>
      <c r="H4" s="109"/>
      <c r="I4" s="110"/>
      <c r="J4" s="110"/>
      <c r="K4" s="110"/>
      <c r="L4" s="110"/>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c r="CX4" s="111"/>
      <c r="CY4" s="111"/>
      <c r="CZ4" s="111"/>
      <c r="DA4" s="111"/>
      <c r="DB4" s="111"/>
      <c r="DC4" s="111"/>
      <c r="DD4" s="111"/>
      <c r="DE4" s="111"/>
      <c r="DF4" s="111"/>
      <c r="DG4" s="111"/>
      <c r="DH4" s="111"/>
      <c r="DI4" s="111"/>
      <c r="DJ4" s="111"/>
      <c r="DK4" s="111"/>
      <c r="DL4" s="111"/>
      <c r="DM4" s="111"/>
    </row>
    <row r="5" s="112" customFormat="true" ht="16.95" hidden="false" customHeight="true" outlineLevel="0" collapsed="false">
      <c r="A5" s="113"/>
      <c r="B5" s="114"/>
      <c r="C5" s="114"/>
      <c r="D5" s="114"/>
      <c r="E5" s="114"/>
      <c r="F5" s="114"/>
      <c r="G5" s="114"/>
      <c r="H5" s="114"/>
      <c r="I5" s="110"/>
      <c r="J5" s="110"/>
      <c r="K5" s="110"/>
      <c r="L5" s="110"/>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c r="CK5" s="111"/>
      <c r="CL5" s="111"/>
      <c r="CM5" s="111"/>
      <c r="CN5" s="111"/>
      <c r="CO5" s="111"/>
      <c r="CP5" s="111"/>
      <c r="CQ5" s="111"/>
      <c r="CR5" s="111"/>
      <c r="CS5" s="111"/>
      <c r="CT5" s="111"/>
      <c r="CU5" s="111"/>
      <c r="CV5" s="111"/>
      <c r="CW5" s="111"/>
      <c r="CX5" s="111"/>
      <c r="CY5" s="111"/>
      <c r="CZ5" s="111"/>
      <c r="DA5" s="111"/>
      <c r="DB5" s="111"/>
      <c r="DC5" s="111"/>
      <c r="DD5" s="111"/>
      <c r="DE5" s="111"/>
      <c r="DF5" s="111"/>
      <c r="DG5" s="111"/>
      <c r="DH5" s="111"/>
      <c r="DI5" s="111"/>
      <c r="DJ5" s="111"/>
      <c r="DK5" s="111"/>
      <c r="DL5" s="111"/>
      <c r="DM5" s="111"/>
    </row>
    <row r="6" s="112" customFormat="true" ht="18" hidden="false" customHeight="true" outlineLevel="0" collapsed="false">
      <c r="A6" s="115" t="s">
        <v>161</v>
      </c>
      <c r="B6" s="116"/>
      <c r="C6" s="117"/>
      <c r="D6" s="118"/>
      <c r="E6" s="119" t="s">
        <v>162</v>
      </c>
      <c r="F6" s="120"/>
      <c r="I6" s="114"/>
      <c r="J6" s="110"/>
      <c r="K6" s="110"/>
      <c r="L6" s="110"/>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c r="CK6" s="111"/>
      <c r="CL6" s="111"/>
      <c r="CM6" s="111"/>
      <c r="CN6" s="111"/>
      <c r="CO6" s="111"/>
      <c r="CP6" s="111"/>
      <c r="CQ6" s="111"/>
      <c r="CR6" s="111"/>
      <c r="CS6" s="111"/>
      <c r="CT6" s="111"/>
      <c r="CU6" s="111"/>
      <c r="CV6" s="111"/>
      <c r="CW6" s="111"/>
      <c r="CX6" s="111"/>
      <c r="CY6" s="111"/>
      <c r="CZ6" s="111"/>
      <c r="DA6" s="111"/>
      <c r="DB6" s="111"/>
      <c r="DC6" s="111"/>
      <c r="DD6" s="111"/>
      <c r="DE6" s="111"/>
      <c r="DF6" s="111"/>
      <c r="DG6" s="111"/>
      <c r="DH6" s="111"/>
      <c r="DI6" s="111"/>
      <c r="DJ6" s="111"/>
      <c r="DK6" s="111"/>
      <c r="DL6" s="111"/>
      <c r="DM6" s="111"/>
    </row>
    <row r="7" s="112" customFormat="true" ht="6" hidden="false" customHeight="true" outlineLevel="0" collapsed="false">
      <c r="A7" s="121"/>
      <c r="B7" s="122"/>
      <c r="C7" s="123"/>
      <c r="D7" s="122"/>
      <c r="E7" s="123"/>
      <c r="F7" s="123"/>
      <c r="G7" s="123"/>
      <c r="H7" s="123"/>
      <c r="I7" s="110"/>
      <c r="J7" s="110"/>
      <c r="K7" s="110"/>
      <c r="L7" s="110"/>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c r="CG7" s="111"/>
      <c r="CH7" s="111"/>
      <c r="CI7" s="111"/>
      <c r="CJ7" s="111"/>
      <c r="CK7" s="111"/>
      <c r="CL7" s="111"/>
      <c r="CM7" s="111"/>
      <c r="CN7" s="111"/>
      <c r="CO7" s="111"/>
      <c r="CP7" s="111"/>
      <c r="CQ7" s="111"/>
      <c r="CR7" s="111"/>
      <c r="CS7" s="111"/>
      <c r="CT7" s="111"/>
      <c r="CU7" s="111"/>
      <c r="CV7" s="111"/>
      <c r="CW7" s="111"/>
      <c r="CX7" s="111"/>
      <c r="CY7" s="111"/>
      <c r="CZ7" s="111"/>
      <c r="DA7" s="111"/>
      <c r="DB7" s="111"/>
      <c r="DC7" s="111"/>
      <c r="DD7" s="111"/>
      <c r="DE7" s="111"/>
      <c r="DF7" s="111"/>
      <c r="DG7" s="111"/>
      <c r="DH7" s="111"/>
      <c r="DI7" s="111"/>
      <c r="DJ7" s="111"/>
      <c r="DK7" s="111"/>
      <c r="DL7" s="111"/>
      <c r="DM7" s="111"/>
    </row>
    <row r="8" s="129" customFormat="true" ht="26.25" hidden="false" customHeight="true" outlineLevel="0" collapsed="false">
      <c r="A8" s="124" t="s">
        <v>163</v>
      </c>
      <c r="B8" s="124"/>
      <c r="C8" s="125" t="s">
        <v>164</v>
      </c>
      <c r="D8" s="126"/>
      <c r="E8" s="127" t="s">
        <v>165</v>
      </c>
      <c r="F8" s="128" t="s">
        <v>166</v>
      </c>
      <c r="I8" s="130"/>
      <c r="J8" s="130"/>
      <c r="K8" s="130"/>
      <c r="L8" s="130"/>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1"/>
      <c r="CN8" s="131"/>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row>
    <row r="9" s="138" customFormat="true" ht="9.9" hidden="false" customHeight="true" outlineLevel="0" collapsed="false">
      <c r="A9" s="132"/>
      <c r="B9" s="133"/>
      <c r="C9" s="134" t="s">
        <v>167</v>
      </c>
      <c r="D9" s="135"/>
      <c r="E9" s="136" t="s">
        <v>168</v>
      </c>
      <c r="F9" s="137" t="s">
        <v>169</v>
      </c>
      <c r="I9" s="139"/>
      <c r="J9" s="139"/>
      <c r="K9" s="139"/>
      <c r="L9" s="139"/>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c r="CN9" s="140"/>
      <c r="CO9" s="140"/>
      <c r="CP9" s="140"/>
      <c r="CQ9" s="140"/>
      <c r="CR9" s="140"/>
      <c r="CS9" s="140"/>
      <c r="CT9" s="140"/>
      <c r="CU9" s="140"/>
      <c r="CV9" s="140"/>
      <c r="CW9" s="140"/>
      <c r="CX9" s="140"/>
      <c r="CY9" s="140"/>
      <c r="CZ9" s="140"/>
      <c r="DA9" s="140"/>
      <c r="DB9" s="140"/>
      <c r="DC9" s="140"/>
      <c r="DD9" s="140"/>
      <c r="DE9" s="140"/>
      <c r="DF9" s="140"/>
      <c r="DG9" s="140"/>
      <c r="DH9" s="140"/>
      <c r="DI9" s="140"/>
      <c r="DJ9" s="140"/>
      <c r="DK9" s="140"/>
      <c r="DL9" s="140"/>
      <c r="DM9" s="140"/>
    </row>
    <row r="10" customFormat="false" ht="13.8" hidden="false" customHeight="true" outlineLevel="0" collapsed="false">
      <c r="A10" s="141"/>
      <c r="B10" s="142"/>
      <c r="C10" s="143"/>
      <c r="D10" s="142"/>
      <c r="E10" s="143"/>
      <c r="F10" s="143"/>
    </row>
    <row r="11" s="1" customFormat="true" ht="14.7" hidden="false" customHeight="true" outlineLevel="0" collapsed="false">
      <c r="A11" s="144" t="n">
        <v>1</v>
      </c>
      <c r="B11" s="145" t="s">
        <v>170</v>
      </c>
      <c r="C11" s="146"/>
      <c r="D11" s="147" t="s">
        <v>171</v>
      </c>
      <c r="E11" s="148" t="n">
        <v>4.32</v>
      </c>
      <c r="F11" s="149" t="n">
        <f aca="false">C11*E11</f>
        <v>0</v>
      </c>
      <c r="I11" s="103"/>
      <c r="J11" s="103"/>
      <c r="K11" s="103"/>
      <c r="L11" s="103"/>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c r="CK11" s="88"/>
      <c r="CL11" s="88"/>
      <c r="CM11" s="88"/>
      <c r="CN11" s="88"/>
      <c r="CO11" s="88"/>
      <c r="CP11" s="88"/>
      <c r="CQ11" s="88"/>
      <c r="CR11" s="88"/>
      <c r="CS11" s="88"/>
      <c r="CT11" s="88"/>
      <c r="CU11" s="88"/>
      <c r="CV11" s="88"/>
      <c r="CW11" s="88"/>
      <c r="CX11" s="88"/>
      <c r="CY11" s="88"/>
      <c r="CZ11" s="88"/>
      <c r="DA11" s="88"/>
      <c r="DB11" s="88"/>
      <c r="DC11" s="88"/>
      <c r="DD11" s="88"/>
      <c r="DE11" s="88"/>
      <c r="DF11" s="88"/>
      <c r="DG11" s="88"/>
      <c r="DH11" s="88"/>
      <c r="DI11" s="88"/>
      <c r="DJ11" s="88"/>
      <c r="DK11" s="88"/>
      <c r="DL11" s="88"/>
      <c r="DM11" s="88"/>
    </row>
    <row r="12" customFormat="false" ht="13.8" hidden="false" customHeight="true" outlineLevel="0" collapsed="false">
      <c r="A12" s="144"/>
      <c r="B12" s="145"/>
      <c r="C12" s="146"/>
      <c r="D12" s="150" t="s">
        <v>172</v>
      </c>
      <c r="E12" s="151" t="n">
        <f aca="false">'B - RESIDENZIALE'!C8</f>
        <v>12.46632</v>
      </c>
      <c r="F12" s="149" t="n">
        <f aca="false">C11*E12</f>
        <v>0</v>
      </c>
    </row>
    <row r="13" customFormat="false" ht="6" hidden="false" customHeight="true" outlineLevel="0" collapsed="false">
      <c r="A13" s="152"/>
      <c r="B13" s="142"/>
      <c r="C13" s="153"/>
      <c r="D13" s="150"/>
      <c r="E13" s="154"/>
      <c r="F13" s="155"/>
    </row>
    <row r="14" customFormat="false" ht="13.8" hidden="false" customHeight="true" outlineLevel="0" collapsed="false">
      <c r="A14" s="152"/>
      <c r="B14" s="156"/>
      <c r="C14" s="157"/>
      <c r="D14" s="150" t="s">
        <v>7</v>
      </c>
      <c r="E14" s="158"/>
      <c r="F14" s="149" t="n">
        <f aca="false">F11+F12</f>
        <v>0</v>
      </c>
    </row>
    <row r="15" customFormat="false" ht="13.8" hidden="false" customHeight="true" outlineLevel="0" collapsed="false">
      <c r="A15" s="152"/>
      <c r="B15" s="156"/>
      <c r="C15" s="157"/>
      <c r="D15" s="150"/>
      <c r="E15" s="158"/>
      <c r="F15" s="159"/>
    </row>
    <row r="16" customFormat="false" ht="14.7" hidden="false" customHeight="true" outlineLevel="0" collapsed="false">
      <c r="A16" s="144" t="n">
        <v>2</v>
      </c>
      <c r="B16" s="145" t="s">
        <v>33</v>
      </c>
      <c r="C16" s="146"/>
      <c r="D16" s="147" t="s">
        <v>171</v>
      </c>
      <c r="E16" s="148" t="n">
        <f aca="false">'B - RESIDENZIALE'!C10</f>
        <v>4.315968</v>
      </c>
      <c r="F16" s="149" t="n">
        <f aca="false">C16*E16</f>
        <v>0</v>
      </c>
    </row>
    <row r="17" customFormat="false" ht="13.8" hidden="false" customHeight="true" outlineLevel="0" collapsed="false">
      <c r="A17" s="144"/>
      <c r="B17" s="145"/>
      <c r="C17" s="146"/>
      <c r="D17" s="150" t="s">
        <v>172</v>
      </c>
      <c r="E17" s="160" t="n">
        <f aca="false">'B - RESIDENZIALE'!C11</f>
        <v>12.46632</v>
      </c>
      <c r="F17" s="149" t="n">
        <f aca="false">C16*E17</f>
        <v>0</v>
      </c>
    </row>
    <row r="18" customFormat="false" ht="6" hidden="false" customHeight="true" outlineLevel="0" collapsed="false">
      <c r="A18" s="152"/>
      <c r="B18" s="142"/>
      <c r="C18" s="153"/>
      <c r="D18" s="150"/>
      <c r="E18" s="154"/>
      <c r="F18" s="155"/>
    </row>
    <row r="19" customFormat="false" ht="13.8" hidden="false" customHeight="true" outlineLevel="0" collapsed="false">
      <c r="A19" s="152"/>
      <c r="B19" s="156"/>
      <c r="C19" s="157"/>
      <c r="D19" s="150" t="s">
        <v>7</v>
      </c>
      <c r="E19" s="158"/>
      <c r="F19" s="149" t="n">
        <f aca="false">F16+F17</f>
        <v>0</v>
      </c>
    </row>
    <row r="20" customFormat="false" ht="13.8" hidden="false" customHeight="true" outlineLevel="0" collapsed="false">
      <c r="A20" s="152"/>
      <c r="B20" s="156"/>
      <c r="C20" s="157"/>
      <c r="D20" s="150"/>
      <c r="E20" s="154"/>
      <c r="F20" s="161"/>
    </row>
    <row r="21" customFormat="false" ht="14.7" hidden="false" customHeight="true" outlineLevel="0" collapsed="false">
      <c r="A21" s="144" t="s">
        <v>173</v>
      </c>
      <c r="B21" s="162" t="s">
        <v>174</v>
      </c>
      <c r="C21" s="163"/>
      <c r="D21" s="164" t="s">
        <v>171</v>
      </c>
      <c r="E21" s="165" t="n">
        <f aca="false">'B - RESIDENZIALE'!C19</f>
        <v>11.509248</v>
      </c>
      <c r="F21" s="166" t="n">
        <f aca="false">C21*E21</f>
        <v>0</v>
      </c>
    </row>
    <row r="22" customFormat="false" ht="13.8" hidden="false" customHeight="true" outlineLevel="0" collapsed="false">
      <c r="A22" s="167"/>
      <c r="B22" s="162"/>
      <c r="C22" s="163"/>
      <c r="D22" s="150" t="s">
        <v>172</v>
      </c>
      <c r="E22" s="160" t="n">
        <f aca="false">'B - RESIDENZIALE'!C20</f>
        <v>33.24352</v>
      </c>
      <c r="F22" s="168" t="n">
        <f aca="false">C21*E22</f>
        <v>0</v>
      </c>
    </row>
    <row r="23" customFormat="false" ht="6" hidden="false" customHeight="true" outlineLevel="0" collapsed="false">
      <c r="A23" s="167"/>
      <c r="B23" s="169"/>
      <c r="C23" s="157"/>
      <c r="D23" s="150"/>
      <c r="F23" s="170"/>
    </row>
    <row r="24" customFormat="false" ht="13.8" hidden="false" customHeight="true" outlineLevel="0" collapsed="false">
      <c r="A24" s="167"/>
      <c r="B24" s="171"/>
      <c r="C24" s="157"/>
      <c r="D24" s="150" t="s">
        <v>7</v>
      </c>
      <c r="F24" s="168" t="n">
        <f aca="false">F21+F22</f>
        <v>0</v>
      </c>
    </row>
    <row r="25" customFormat="false" ht="13.8" hidden="false" customHeight="true" outlineLevel="0" collapsed="false">
      <c r="A25" s="167"/>
      <c r="B25" s="171"/>
      <c r="C25" s="157"/>
      <c r="D25" s="150"/>
      <c r="F25" s="172"/>
    </row>
    <row r="26" customFormat="false" ht="14.7" hidden="false" customHeight="true" outlineLevel="0" collapsed="false">
      <c r="A26" s="144" t="s">
        <v>175</v>
      </c>
      <c r="B26" s="173" t="s">
        <v>176</v>
      </c>
      <c r="C26" s="146"/>
      <c r="D26" s="147" t="s">
        <v>171</v>
      </c>
      <c r="E26" s="148" t="n">
        <f aca="false">'B - RESIDENZIALE'!C22</f>
        <v>16.1129472</v>
      </c>
      <c r="F26" s="168" t="n">
        <f aca="false">E26*C26</f>
        <v>0</v>
      </c>
    </row>
    <row r="27" customFormat="false" ht="13.8" hidden="false" customHeight="true" outlineLevel="0" collapsed="false">
      <c r="A27" s="167"/>
      <c r="B27" s="173"/>
      <c r="C27" s="146"/>
      <c r="D27" s="150" t="s">
        <v>172</v>
      </c>
      <c r="E27" s="160" t="n">
        <f aca="false">'B - RESIDENZIALE'!C23</f>
        <v>46.540928</v>
      </c>
      <c r="F27" s="168" t="n">
        <f aca="false">E27*C26</f>
        <v>0</v>
      </c>
    </row>
    <row r="28" customFormat="false" ht="6" hidden="false" customHeight="true" outlineLevel="0" collapsed="false">
      <c r="A28" s="167"/>
      <c r="B28" s="169"/>
      <c r="C28" s="157"/>
      <c r="D28" s="150"/>
      <c r="F28" s="170"/>
    </row>
    <row r="29" customFormat="false" ht="13.5" hidden="false" customHeight="true" outlineLevel="0" collapsed="false">
      <c r="A29" s="167"/>
      <c r="B29" s="174"/>
      <c r="C29" s="175"/>
      <c r="D29" s="176" t="s">
        <v>7</v>
      </c>
      <c r="E29" s="176" t="n">
        <f aca="false">F21+F22</f>
        <v>0</v>
      </c>
      <c r="F29" s="177" t="n">
        <f aca="false">F26+F27</f>
        <v>0</v>
      </c>
    </row>
    <row r="30" customFormat="false" ht="13.5" hidden="false" customHeight="true" outlineLevel="0" collapsed="false">
      <c r="A30" s="152"/>
      <c r="B30" s="142"/>
      <c r="C30" s="157"/>
      <c r="D30" s="150"/>
      <c r="E30" s="159"/>
      <c r="F30" s="159"/>
    </row>
    <row r="31" customFormat="false" ht="17.85" hidden="false" customHeight="true" outlineLevel="0" collapsed="false">
      <c r="A31" s="144" t="n">
        <v>4</v>
      </c>
      <c r="B31" s="145" t="s">
        <v>177</v>
      </c>
      <c r="C31" s="146"/>
      <c r="D31" s="147" t="s">
        <v>171</v>
      </c>
      <c r="E31" s="148" t="n">
        <f aca="false">'B - RESIDENZIALE'!C13</f>
        <v>17.263872</v>
      </c>
      <c r="F31" s="149" t="n">
        <f aca="false">C31*E31</f>
        <v>0</v>
      </c>
    </row>
    <row r="32" customFormat="false" ht="17.25" hidden="false" customHeight="true" outlineLevel="0" collapsed="false">
      <c r="A32" s="144"/>
      <c r="B32" s="145"/>
      <c r="C32" s="146"/>
      <c r="D32" s="150" t="s">
        <v>172</v>
      </c>
      <c r="E32" s="160" t="n">
        <f aca="false">'B - RESIDENZIALE'!C14</f>
        <v>49.86528</v>
      </c>
      <c r="F32" s="149" t="n">
        <f aca="false">C31*E32</f>
        <v>0</v>
      </c>
    </row>
    <row r="33" customFormat="false" ht="6" hidden="false" customHeight="true" outlineLevel="0" collapsed="false">
      <c r="A33" s="152"/>
      <c r="B33" s="178"/>
      <c r="C33" s="157"/>
      <c r="D33" s="150"/>
      <c r="E33" s="101"/>
      <c r="F33" s="155"/>
    </row>
    <row r="34" customFormat="false" ht="13.8" hidden="false" customHeight="true" outlineLevel="0" collapsed="false">
      <c r="A34" s="152"/>
      <c r="B34" s="142"/>
      <c r="C34" s="157"/>
      <c r="D34" s="150" t="s">
        <v>7</v>
      </c>
      <c r="E34" s="101"/>
      <c r="F34" s="149" t="n">
        <f aca="false">F31+F32</f>
        <v>0</v>
      </c>
    </row>
    <row r="35" customFormat="false" ht="12.75" hidden="false" customHeight="true" outlineLevel="0" collapsed="false">
      <c r="A35" s="152"/>
      <c r="B35" s="142"/>
      <c r="C35" s="157"/>
      <c r="D35" s="150"/>
      <c r="E35" s="158"/>
      <c r="F35" s="159"/>
    </row>
    <row r="36" customFormat="false" ht="14.7" hidden="false" customHeight="true" outlineLevel="0" collapsed="false">
      <c r="A36" s="144" t="n">
        <v>5</v>
      </c>
      <c r="B36" s="145" t="s">
        <v>38</v>
      </c>
      <c r="C36" s="146"/>
      <c r="D36" s="147" t="s">
        <v>171</v>
      </c>
      <c r="E36" s="148" t="n">
        <f aca="false">'B - RESIDENZIALE'!C16</f>
        <v>8.2003392</v>
      </c>
      <c r="F36" s="149" t="n">
        <f aca="false">C36*E36</f>
        <v>0</v>
      </c>
    </row>
    <row r="37" customFormat="false" ht="14.7" hidden="false" customHeight="true" outlineLevel="0" collapsed="false">
      <c r="A37" s="144"/>
      <c r="B37" s="145"/>
      <c r="C37" s="146"/>
      <c r="D37" s="150" t="s">
        <v>172</v>
      </c>
      <c r="E37" s="160" t="n">
        <f aca="false">'B - RESIDENZIALE'!C17</f>
        <v>23.686008</v>
      </c>
      <c r="F37" s="149" t="n">
        <f aca="false">C36*E37</f>
        <v>0</v>
      </c>
    </row>
    <row r="38" customFormat="false" ht="6" hidden="false" customHeight="true" outlineLevel="0" collapsed="false">
      <c r="A38" s="152"/>
      <c r="B38" s="178"/>
      <c r="C38" s="157"/>
      <c r="D38" s="150"/>
      <c r="E38" s="101"/>
      <c r="F38" s="155"/>
    </row>
    <row r="39" customFormat="false" ht="12.75" hidden="false" customHeight="true" outlineLevel="0" collapsed="false">
      <c r="A39" s="152"/>
      <c r="B39" s="142"/>
      <c r="C39" s="157"/>
      <c r="D39" s="150" t="s">
        <v>7</v>
      </c>
      <c r="E39" s="101"/>
      <c r="F39" s="149" t="n">
        <f aca="false">F36+F37</f>
        <v>0</v>
      </c>
    </row>
    <row r="40" customFormat="false" ht="12.75" hidden="false" customHeight="true" outlineLevel="0" collapsed="false">
      <c r="A40" s="152"/>
      <c r="B40" s="142"/>
      <c r="C40" s="157"/>
      <c r="D40" s="150"/>
      <c r="E40" s="158"/>
      <c r="F40" s="179"/>
    </row>
    <row r="41" customFormat="false" ht="13.8" hidden="false" customHeight="true" outlineLevel="0" collapsed="false">
      <c r="A41" s="144" t="s">
        <v>178</v>
      </c>
      <c r="B41" s="180" t="s">
        <v>179</v>
      </c>
      <c r="C41" s="181"/>
      <c r="D41" s="182"/>
      <c r="E41" s="183"/>
      <c r="F41" s="184"/>
    </row>
    <row r="42" customFormat="false" ht="14.7" hidden="false" customHeight="true" outlineLevel="0" collapsed="false">
      <c r="A42" s="167"/>
      <c r="B42" s="185" t="s">
        <v>180</v>
      </c>
      <c r="C42" s="146"/>
      <c r="D42" s="147" t="s">
        <v>171</v>
      </c>
      <c r="E42" s="186" t="n">
        <f aca="false">'B - RESIDENZIALE'!C25</f>
        <v>22.4430336</v>
      </c>
      <c r="F42" s="168" t="n">
        <f aca="false">C42*E42</f>
        <v>0</v>
      </c>
    </row>
    <row r="43" customFormat="false" ht="12.9" hidden="false" customHeight="true" outlineLevel="0" collapsed="false">
      <c r="A43" s="167"/>
      <c r="B43" s="185"/>
      <c r="C43" s="146"/>
      <c r="D43" s="150" t="s">
        <v>172</v>
      </c>
      <c r="E43" s="187" t="n">
        <f aca="false">'B - RESIDENZIALE'!C26</f>
        <v>64.824864</v>
      </c>
      <c r="F43" s="168" t="n">
        <f aca="false">C42*E43</f>
        <v>0</v>
      </c>
    </row>
    <row r="44" customFormat="false" ht="6" hidden="false" customHeight="true" outlineLevel="0" collapsed="false">
      <c r="A44" s="167"/>
      <c r="B44" s="169"/>
      <c r="C44" s="157"/>
      <c r="D44" s="150"/>
      <c r="F44" s="170"/>
    </row>
    <row r="45" customFormat="false" ht="13.8" hidden="false" customHeight="true" outlineLevel="0" collapsed="false">
      <c r="A45" s="167"/>
      <c r="B45" s="171"/>
      <c r="C45" s="157"/>
      <c r="D45" s="150" t="s">
        <v>7</v>
      </c>
      <c r="F45" s="168" t="n">
        <f aca="false">F42+F43</f>
        <v>0</v>
      </c>
    </row>
    <row r="46" customFormat="false" ht="13.8" hidden="false" customHeight="true" outlineLevel="0" collapsed="false">
      <c r="A46" s="144" t="s">
        <v>181</v>
      </c>
      <c r="B46" s="171"/>
      <c r="C46" s="157"/>
      <c r="D46" s="150"/>
      <c r="F46" s="172"/>
    </row>
    <row r="47" customFormat="false" ht="14.7" hidden="false" customHeight="true" outlineLevel="0" collapsed="false">
      <c r="A47" s="144"/>
      <c r="B47" s="185" t="s">
        <v>182</v>
      </c>
      <c r="C47" s="146"/>
      <c r="D47" s="147" t="s">
        <v>171</v>
      </c>
      <c r="E47" s="186" t="n">
        <f aca="false">'B - RESIDENZIALE'!C28</f>
        <v>18.702528</v>
      </c>
      <c r="F47" s="168" t="n">
        <f aca="false">C47*E47</f>
        <v>0</v>
      </c>
    </row>
    <row r="48" customFormat="false" ht="13.8" hidden="false" customHeight="true" outlineLevel="0" collapsed="false">
      <c r="A48" s="144"/>
      <c r="B48" s="185"/>
      <c r="C48" s="146"/>
      <c r="D48" s="150" t="s">
        <v>172</v>
      </c>
      <c r="E48" s="187" t="n">
        <f aca="false">'B - RESIDENZIALE'!C29</f>
        <v>54.02072</v>
      </c>
      <c r="F48" s="168" t="n">
        <f aca="false">C47*E48</f>
        <v>0</v>
      </c>
    </row>
    <row r="49" customFormat="false" ht="6" hidden="false" customHeight="true" outlineLevel="0" collapsed="false">
      <c r="A49" s="144"/>
      <c r="B49" s="171"/>
      <c r="C49" s="157"/>
      <c r="D49" s="150"/>
      <c r="F49" s="170"/>
    </row>
    <row r="50" customFormat="false" ht="13.8" hidden="false" customHeight="true" outlineLevel="0" collapsed="false">
      <c r="A50" s="188"/>
      <c r="B50" s="171"/>
      <c r="C50" s="157"/>
      <c r="D50" s="150" t="s">
        <v>7</v>
      </c>
      <c r="F50" s="168" t="n">
        <f aca="false">F47+F48</f>
        <v>0</v>
      </c>
    </row>
    <row r="51" customFormat="false" ht="13.5" hidden="false" customHeight="true" outlineLevel="0" collapsed="false">
      <c r="A51" s="188"/>
      <c r="B51" s="171"/>
      <c r="C51" s="157"/>
      <c r="D51" s="150"/>
      <c r="F51" s="172"/>
    </row>
    <row r="52" customFormat="false" ht="14.7" hidden="false" customHeight="true" outlineLevel="0" collapsed="false">
      <c r="A52" s="144" t="s">
        <v>183</v>
      </c>
      <c r="B52" s="185" t="s">
        <v>184</v>
      </c>
      <c r="C52" s="146"/>
      <c r="D52" s="147" t="s">
        <v>171</v>
      </c>
      <c r="E52" s="186" t="n">
        <f aca="false">'B - RESIDENZIALE'!C31</f>
        <v>16.8322752</v>
      </c>
      <c r="F52" s="168" t="n">
        <f aca="false">C52*E52</f>
        <v>0</v>
      </c>
    </row>
    <row r="53" customFormat="false" ht="13.8" hidden="false" customHeight="true" outlineLevel="0" collapsed="false">
      <c r="A53" s="188"/>
      <c r="B53" s="185"/>
      <c r="C53" s="146"/>
      <c r="D53" s="150" t="s">
        <v>172</v>
      </c>
      <c r="E53" s="189" t="n">
        <f aca="false">'B - RESIDENZIALE'!C32</f>
        <v>48.618648</v>
      </c>
      <c r="F53" s="168" t="n">
        <f aca="false">C52*E53</f>
        <v>0</v>
      </c>
    </row>
    <row r="54" customFormat="false" ht="6" hidden="false" customHeight="true" outlineLevel="0" collapsed="false">
      <c r="A54" s="188"/>
      <c r="B54" s="171"/>
      <c r="C54" s="157"/>
      <c r="D54" s="150"/>
      <c r="E54" s="154"/>
      <c r="F54" s="170"/>
    </row>
    <row r="55" customFormat="false" ht="13.8" hidden="false" customHeight="true" outlineLevel="0" collapsed="false">
      <c r="A55" s="152"/>
      <c r="B55" s="174"/>
      <c r="C55" s="190"/>
      <c r="D55" s="176" t="s">
        <v>7</v>
      </c>
      <c r="E55" s="191"/>
      <c r="F55" s="177" t="n">
        <f aca="false">F52+F53</f>
        <v>0</v>
      </c>
    </row>
    <row r="56" customFormat="false" ht="13.8" hidden="false" customHeight="true" outlineLevel="0" collapsed="false">
      <c r="A56" s="152"/>
      <c r="B56" s="142"/>
      <c r="C56" s="192"/>
      <c r="D56" s="150"/>
      <c r="E56" s="158"/>
      <c r="F56" s="161"/>
    </row>
    <row r="57" customFormat="false" ht="13.8" hidden="false" customHeight="true" outlineLevel="0" collapsed="false">
      <c r="A57" s="152"/>
      <c r="B57" s="142"/>
      <c r="C57" s="193" t="s">
        <v>185</v>
      </c>
      <c r="D57" s="150" t="s">
        <v>171</v>
      </c>
      <c r="E57" s="194" t="s">
        <v>169</v>
      </c>
      <c r="F57" s="195" t="n">
        <f aca="false">F11+F16+F21+F26+F31+F36+F42+F47+F52</f>
        <v>0</v>
      </c>
    </row>
    <row r="58" customFormat="false" ht="13.8" hidden="false" customHeight="true" outlineLevel="0" collapsed="false">
      <c r="A58" s="196"/>
      <c r="B58" s="197"/>
      <c r="C58" s="193"/>
      <c r="D58" s="198" t="s">
        <v>172</v>
      </c>
      <c r="E58" s="194" t="s">
        <v>169</v>
      </c>
      <c r="F58" s="199" t="n">
        <f aca="false">F12+F17+F22+F27+F32+F37+F43+F48+F53</f>
        <v>0</v>
      </c>
    </row>
    <row r="61" customFormat="false" ht="19.5" hidden="false" customHeight="true" outlineLevel="0" collapsed="false"/>
  </sheetData>
  <sheetProtection sheet="true" objects="true" scenarios="true"/>
  <mergeCells count="28">
    <mergeCell ref="A1:F1"/>
    <mergeCell ref="A2:F2"/>
    <mergeCell ref="A4:F4"/>
    <mergeCell ref="A8:B8"/>
    <mergeCell ref="A11:A12"/>
    <mergeCell ref="B11:B12"/>
    <mergeCell ref="C11:C12"/>
    <mergeCell ref="A16:A17"/>
    <mergeCell ref="B16:B17"/>
    <mergeCell ref="C16:C17"/>
    <mergeCell ref="B21:B22"/>
    <mergeCell ref="C21:C22"/>
    <mergeCell ref="B26:B27"/>
    <mergeCell ref="C26:C27"/>
    <mergeCell ref="A31:A32"/>
    <mergeCell ref="B31:B32"/>
    <mergeCell ref="C31:C32"/>
    <mergeCell ref="A36:A37"/>
    <mergeCell ref="B36:B37"/>
    <mergeCell ref="C36:C37"/>
    <mergeCell ref="B42:B43"/>
    <mergeCell ref="C42:C43"/>
    <mergeCell ref="A46:A49"/>
    <mergeCell ref="B47:B48"/>
    <mergeCell ref="C47:C48"/>
    <mergeCell ref="B52:B53"/>
    <mergeCell ref="C52:C53"/>
    <mergeCell ref="C57:C58"/>
  </mergeCells>
  <printOptions headings="false" gridLines="false" gridLinesSet="true" horizontalCentered="true" verticalCentered="false"/>
  <pageMargins left="0.7875" right="0.7875" top="0.984027777777778" bottom="0.708333333333333" header="0.511811023622047" footer="0.511811023622047"/>
  <pageSetup paperSize="8" scale="9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M64"/>
  <sheetViews>
    <sheetView showFormulas="false" showGridLines="false" showRowColHeaders="true" showZeros="true" rightToLeft="false" tabSelected="false" showOutlineSymbols="true" defaultGridColor="true" view="normal" topLeftCell="A37" colorId="64" zoomScale="150" zoomScaleNormal="150" zoomScalePageLayoutView="100" workbookViewId="0">
      <selection pane="topLeft" activeCell="E56" activeCellId="0" sqref="E56"/>
    </sheetView>
  </sheetViews>
  <sheetFormatPr defaultColWidth="8.5078125" defaultRowHeight="13.8" zeroHeight="false" outlineLevelRow="0" outlineLevelCol="0"/>
  <cols>
    <col collapsed="false" customWidth="true" hidden="false" outlineLevel="0" max="1" min="1" style="200" width="5.29"/>
    <col collapsed="false" customWidth="true" hidden="false" outlineLevel="0" max="2" min="2" style="103" width="45.62"/>
    <col collapsed="false" customWidth="true" hidden="false" outlineLevel="0" max="3" min="3" style="201" width="9.48"/>
    <col collapsed="false" customWidth="true" hidden="false" outlineLevel="0" max="4" min="4" style="103" width="10.29"/>
    <col collapsed="false" customWidth="true" hidden="false" outlineLevel="0" max="5" min="5" style="202" width="6.73"/>
    <col collapsed="false" customWidth="true" hidden="false" outlineLevel="0" max="6" min="6" style="202" width="9.29"/>
    <col collapsed="false" customWidth="true" hidden="false" outlineLevel="0" max="7" min="7" style="202" width="6.29"/>
    <col collapsed="false" customWidth="false" hidden="false" outlineLevel="0" max="8" min="8" style="203" width="8.49"/>
    <col collapsed="false" customWidth="false" hidden="false" outlineLevel="0" max="12" min="9" style="103" width="8.49"/>
    <col collapsed="false" customWidth="false" hidden="false" outlineLevel="0" max="22" min="13" style="88" width="8.49"/>
    <col collapsed="false" customWidth="false" hidden="false" outlineLevel="0" max="257" min="23" style="1" width="8.49"/>
  </cols>
  <sheetData>
    <row r="1" customFormat="false" ht="13.8" hidden="false" customHeight="true" outlineLevel="0" collapsed="false">
      <c r="A1" s="104" t="s">
        <v>159</v>
      </c>
      <c r="B1" s="104"/>
      <c r="C1" s="104"/>
      <c r="D1" s="104"/>
      <c r="E1" s="104"/>
      <c r="F1" s="104"/>
      <c r="G1" s="104"/>
      <c r="H1" s="104"/>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row>
    <row r="2" customFormat="false" ht="17.25" hidden="false" customHeight="true" outlineLevel="0" collapsed="false">
      <c r="A2" s="204" t="s">
        <v>160</v>
      </c>
      <c r="B2" s="204"/>
      <c r="C2" s="204"/>
      <c r="D2" s="204"/>
      <c r="E2" s="204"/>
      <c r="F2" s="204"/>
      <c r="G2" s="204"/>
      <c r="H2" s="204"/>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8"/>
      <c r="DE2" s="88"/>
      <c r="DF2" s="88"/>
      <c r="DG2" s="88"/>
      <c r="DH2" s="88"/>
      <c r="DI2" s="88"/>
      <c r="DJ2" s="88"/>
      <c r="DK2" s="88"/>
      <c r="DL2" s="88"/>
      <c r="DM2" s="88"/>
    </row>
    <row r="3" customFormat="false" ht="6" hidden="false" customHeight="true" outlineLevel="0" collapsed="false">
      <c r="A3" s="205"/>
      <c r="B3" s="101"/>
      <c r="C3" s="87"/>
      <c r="D3" s="102"/>
      <c r="E3" s="102"/>
      <c r="F3" s="102"/>
      <c r="G3" s="102"/>
      <c r="L3" s="88"/>
    </row>
    <row r="4" s="112" customFormat="true" ht="16.95" hidden="false" customHeight="true" outlineLevel="0" collapsed="false">
      <c r="A4" s="206" t="s">
        <v>186</v>
      </c>
      <c r="B4" s="206"/>
      <c r="C4" s="206"/>
      <c r="D4" s="206"/>
      <c r="E4" s="206"/>
      <c r="F4" s="206"/>
      <c r="G4" s="206"/>
      <c r="H4" s="206"/>
      <c r="I4" s="110"/>
      <c r="J4" s="110"/>
      <c r="K4" s="110"/>
      <c r="L4" s="111"/>
      <c r="M4" s="111"/>
      <c r="N4" s="111"/>
      <c r="O4" s="111"/>
      <c r="P4" s="111"/>
      <c r="Q4" s="111"/>
      <c r="R4" s="111"/>
      <c r="S4" s="111"/>
      <c r="T4" s="111"/>
      <c r="U4" s="111"/>
      <c r="V4" s="111"/>
    </row>
    <row r="5" s="111" customFormat="true" ht="16.95" hidden="false" customHeight="true" outlineLevel="0" collapsed="false">
      <c r="A5" s="207"/>
      <c r="I5" s="110"/>
      <c r="J5" s="110"/>
      <c r="K5" s="110"/>
      <c r="L5" s="110"/>
    </row>
    <row r="6" s="112" customFormat="true" ht="18" hidden="false" customHeight="true" outlineLevel="0" collapsed="false">
      <c r="A6" s="208" t="s">
        <v>161</v>
      </c>
      <c r="B6" s="209"/>
      <c r="C6" s="209"/>
      <c r="D6" s="210"/>
      <c r="E6" s="107" t="s">
        <v>162</v>
      </c>
      <c r="F6" s="107"/>
      <c r="G6" s="211"/>
      <c r="H6" s="211"/>
      <c r="I6" s="114"/>
      <c r="J6" s="110"/>
      <c r="K6" s="110"/>
      <c r="L6" s="110"/>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c r="CK6" s="111"/>
      <c r="CL6" s="111"/>
      <c r="CM6" s="111"/>
      <c r="CN6" s="111"/>
      <c r="CO6" s="111"/>
      <c r="CP6" s="111"/>
      <c r="CQ6" s="111"/>
      <c r="CR6" s="111"/>
      <c r="CS6" s="111"/>
      <c r="CT6" s="111"/>
      <c r="CU6" s="111"/>
      <c r="CV6" s="111"/>
      <c r="CW6" s="111"/>
      <c r="CX6" s="111"/>
      <c r="CY6" s="111"/>
      <c r="CZ6" s="111"/>
      <c r="DA6" s="111"/>
      <c r="DB6" s="111"/>
      <c r="DC6" s="111"/>
      <c r="DD6" s="111"/>
      <c r="DE6" s="111"/>
      <c r="DF6" s="111"/>
      <c r="DG6" s="111"/>
      <c r="DH6" s="111"/>
      <c r="DI6" s="111"/>
      <c r="DJ6" s="111"/>
      <c r="DK6" s="111"/>
      <c r="DL6" s="111"/>
      <c r="DM6" s="111"/>
    </row>
    <row r="7" s="112" customFormat="true" ht="6" hidden="false" customHeight="true" outlineLevel="0" collapsed="false">
      <c r="A7" s="212"/>
      <c r="B7" s="123"/>
      <c r="C7" s="122"/>
      <c r="D7" s="123"/>
      <c r="E7" s="123"/>
      <c r="F7" s="123"/>
      <c r="G7" s="123"/>
      <c r="H7" s="213"/>
      <c r="I7" s="110"/>
      <c r="J7" s="110"/>
      <c r="K7" s="110"/>
      <c r="L7" s="111"/>
      <c r="M7" s="111"/>
      <c r="N7" s="111"/>
      <c r="O7" s="111"/>
      <c r="P7" s="111"/>
      <c r="Q7" s="111"/>
      <c r="R7" s="111"/>
      <c r="S7" s="111"/>
      <c r="T7" s="111"/>
      <c r="U7" s="111"/>
      <c r="V7" s="111"/>
    </row>
    <row r="8" s="129" customFormat="true" ht="37.5" hidden="false" customHeight="true" outlineLevel="0" collapsed="false">
      <c r="A8" s="214" t="s">
        <v>163</v>
      </c>
      <c r="B8" s="214"/>
      <c r="C8" s="215" t="s">
        <v>187</v>
      </c>
      <c r="D8" s="216"/>
      <c r="E8" s="217" t="s">
        <v>188</v>
      </c>
      <c r="F8" s="218" t="s">
        <v>189</v>
      </c>
      <c r="G8" s="219"/>
      <c r="H8" s="220"/>
      <c r="I8" s="130"/>
      <c r="J8" s="130"/>
      <c r="K8" s="130"/>
      <c r="L8" s="131"/>
      <c r="M8" s="131"/>
      <c r="N8" s="131"/>
      <c r="O8" s="131"/>
      <c r="P8" s="131"/>
      <c r="Q8" s="131"/>
      <c r="R8" s="131"/>
      <c r="S8" s="131"/>
      <c r="T8" s="131"/>
      <c r="U8" s="131"/>
      <c r="V8" s="131"/>
    </row>
    <row r="9" s="138" customFormat="true" ht="9.9" hidden="false" customHeight="true" outlineLevel="0" collapsed="false">
      <c r="A9" s="221"/>
      <c r="B9" s="222"/>
      <c r="C9" s="223"/>
      <c r="D9" s="224"/>
      <c r="E9" s="223"/>
      <c r="F9" s="223"/>
      <c r="G9" s="225"/>
      <c r="H9" s="226"/>
      <c r="I9" s="139"/>
      <c r="J9" s="139"/>
      <c r="K9" s="139"/>
      <c r="L9" s="140"/>
      <c r="M9" s="140"/>
      <c r="N9" s="140"/>
      <c r="O9" s="140"/>
      <c r="P9" s="140"/>
      <c r="Q9" s="140"/>
      <c r="R9" s="140"/>
      <c r="S9" s="140"/>
      <c r="T9" s="140"/>
      <c r="U9" s="140"/>
      <c r="V9" s="140"/>
    </row>
    <row r="10" s="1" customFormat="true" ht="14.7" hidden="false" customHeight="true" outlineLevel="0" collapsed="false">
      <c r="A10" s="144" t="s">
        <v>190</v>
      </c>
      <c r="B10" s="145" t="s">
        <v>191</v>
      </c>
      <c r="C10" s="227"/>
      <c r="D10" s="147" t="s">
        <v>171</v>
      </c>
      <c r="E10" s="148" t="n">
        <f aca="false">'C - ARTIGIANALE INDUSTRIALE'!C7</f>
        <v>5.754624</v>
      </c>
      <c r="F10" s="228" t="n">
        <f aca="false">C10*E10</f>
        <v>0</v>
      </c>
      <c r="G10" s="103"/>
      <c r="H10" s="103"/>
      <c r="I10" s="103"/>
      <c r="J10" s="103"/>
      <c r="K10" s="103"/>
      <c r="L10" s="103"/>
      <c r="M10" s="88"/>
      <c r="N10" s="88"/>
      <c r="O10" s="88"/>
      <c r="P10" s="88"/>
      <c r="Q10" s="88"/>
      <c r="R10" s="88"/>
      <c r="S10" s="88"/>
      <c r="T10" s="88"/>
      <c r="U10" s="88"/>
      <c r="V10" s="88"/>
    </row>
    <row r="11" customFormat="false" ht="13.8" hidden="false" customHeight="true" outlineLevel="0" collapsed="false">
      <c r="A11" s="144"/>
      <c r="B11" s="145"/>
      <c r="C11" s="227"/>
      <c r="D11" s="150" t="s">
        <v>172</v>
      </c>
      <c r="E11" s="160" t="n">
        <f aca="false">'C - ARTIGIANALE INDUSTRIALE'!C8</f>
        <v>5.27304</v>
      </c>
      <c r="F11" s="228" t="n">
        <f aca="false">C10*E11</f>
        <v>0</v>
      </c>
      <c r="G11" s="103"/>
      <c r="H11" s="103"/>
    </row>
    <row r="12" customFormat="false" ht="6" hidden="false" customHeight="true" outlineLevel="0" collapsed="false">
      <c r="A12" s="167"/>
      <c r="B12" s="142"/>
      <c r="C12" s="153"/>
      <c r="D12" s="150"/>
      <c r="E12" s="154"/>
      <c r="F12" s="154"/>
      <c r="G12" s="103"/>
      <c r="H12" s="103"/>
    </row>
    <row r="13" customFormat="false" ht="13.8" hidden="false" customHeight="true" outlineLevel="0" collapsed="false">
      <c r="A13" s="167"/>
      <c r="B13" s="156"/>
      <c r="C13" s="157"/>
      <c r="D13" s="150" t="s">
        <v>7</v>
      </c>
      <c r="E13" s="158"/>
      <c r="F13" s="228" t="n">
        <f aca="false">F10+F11</f>
        <v>0</v>
      </c>
      <c r="G13" s="103"/>
      <c r="H13" s="103"/>
    </row>
    <row r="14" customFormat="false" ht="13.8" hidden="false" customHeight="true" outlineLevel="0" collapsed="false">
      <c r="A14" s="167"/>
      <c r="B14" s="156"/>
      <c r="C14" s="157"/>
      <c r="D14" s="150"/>
      <c r="E14" s="154"/>
      <c r="F14" s="192"/>
      <c r="G14" s="103"/>
      <c r="H14" s="103"/>
    </row>
    <row r="15" customFormat="false" ht="27" hidden="false" customHeight="true" outlineLevel="0" collapsed="false">
      <c r="A15" s="144" t="s">
        <v>192</v>
      </c>
      <c r="B15" s="229" t="s">
        <v>191</v>
      </c>
      <c r="C15" s="227"/>
      <c r="D15" s="147" t="s">
        <v>171</v>
      </c>
      <c r="E15" s="148" t="n">
        <f aca="false">'C - ARTIGIANALE INDUSTRIALE'!D7</f>
        <v>8.631936</v>
      </c>
      <c r="F15" s="228" t="n">
        <f aca="false">C15*E15</f>
        <v>0</v>
      </c>
      <c r="G15" s="103"/>
      <c r="H15" s="103"/>
    </row>
    <row r="16" customFormat="false" ht="13.8" hidden="false" customHeight="true" outlineLevel="0" collapsed="false">
      <c r="A16" s="144"/>
      <c r="B16" s="230" t="s">
        <v>193</v>
      </c>
      <c r="C16" s="227"/>
      <c r="D16" s="150" t="s">
        <v>172</v>
      </c>
      <c r="E16" s="160" t="n">
        <f aca="false">'C - ARTIGIANALE INDUSTRIALE'!D8</f>
        <v>7.90956</v>
      </c>
      <c r="F16" s="228" t="n">
        <f aca="false">C15*E16</f>
        <v>0</v>
      </c>
      <c r="G16" s="103"/>
      <c r="H16" s="103"/>
    </row>
    <row r="17" customFormat="false" ht="6" hidden="false" customHeight="true" outlineLevel="0" collapsed="false">
      <c r="A17" s="167"/>
      <c r="B17" s="156"/>
      <c r="C17" s="157"/>
      <c r="D17" s="150"/>
      <c r="E17" s="154"/>
      <c r="F17" s="154"/>
      <c r="G17" s="103"/>
      <c r="H17" s="103"/>
    </row>
    <row r="18" customFormat="false" ht="13.8" hidden="false" customHeight="true" outlineLevel="0" collapsed="false">
      <c r="A18" s="167"/>
      <c r="B18" s="156"/>
      <c r="C18" s="157"/>
      <c r="D18" s="150" t="s">
        <v>7</v>
      </c>
      <c r="E18" s="158"/>
      <c r="F18" s="228" t="n">
        <f aca="false">F15+F16</f>
        <v>0</v>
      </c>
      <c r="G18" s="103"/>
      <c r="H18" s="103"/>
    </row>
    <row r="19" customFormat="false" ht="13.8" hidden="false" customHeight="true" outlineLevel="0" collapsed="false">
      <c r="A19" s="167"/>
      <c r="B19" s="156"/>
      <c r="C19" s="157"/>
      <c r="D19" s="150"/>
      <c r="E19" s="154"/>
      <c r="F19" s="192"/>
      <c r="G19" s="103"/>
      <c r="H19" s="103"/>
    </row>
    <row r="20" customFormat="false" ht="14.7" hidden="false" customHeight="true" outlineLevel="0" collapsed="false">
      <c r="A20" s="144" t="s">
        <v>194</v>
      </c>
      <c r="B20" s="145" t="s">
        <v>33</v>
      </c>
      <c r="C20" s="227"/>
      <c r="D20" s="147" t="s">
        <v>171</v>
      </c>
      <c r="E20" s="148" t="n">
        <f aca="false">'C - ARTIGIANALE INDUSTRIALE'!C11</f>
        <v>5.754624</v>
      </c>
      <c r="F20" s="228" t="n">
        <f aca="false">C20*E20</f>
        <v>0</v>
      </c>
      <c r="G20" s="103"/>
      <c r="H20" s="103"/>
    </row>
    <row r="21" customFormat="false" ht="13.8" hidden="false" customHeight="true" outlineLevel="0" collapsed="false">
      <c r="A21" s="144"/>
      <c r="B21" s="145"/>
      <c r="C21" s="227"/>
      <c r="D21" s="150" t="s">
        <v>172</v>
      </c>
      <c r="E21" s="160" t="n">
        <f aca="false">'C - ARTIGIANALE INDUSTRIALE'!C12</f>
        <v>5.27304</v>
      </c>
      <c r="F21" s="228" t="n">
        <f aca="false">C20*E21</f>
        <v>0</v>
      </c>
      <c r="G21" s="103"/>
      <c r="H21" s="103"/>
    </row>
    <row r="22" customFormat="false" ht="6" hidden="false" customHeight="true" outlineLevel="0" collapsed="false">
      <c r="A22" s="167"/>
      <c r="B22" s="142"/>
      <c r="C22" s="153"/>
      <c r="D22" s="150"/>
      <c r="E22" s="154"/>
      <c r="F22" s="154"/>
      <c r="G22" s="103"/>
      <c r="H22" s="103"/>
    </row>
    <row r="23" customFormat="false" ht="13.8" hidden="false" customHeight="true" outlineLevel="0" collapsed="false">
      <c r="A23" s="167"/>
      <c r="B23" s="156"/>
      <c r="C23" s="157"/>
      <c r="D23" s="150" t="s">
        <v>7</v>
      </c>
      <c r="E23" s="158"/>
      <c r="F23" s="228" t="n">
        <f aca="false">F20+F21</f>
        <v>0</v>
      </c>
      <c r="G23" s="103"/>
      <c r="H23" s="103"/>
    </row>
    <row r="24" customFormat="false" ht="13.8" hidden="false" customHeight="true" outlineLevel="0" collapsed="false">
      <c r="A24" s="167"/>
      <c r="B24" s="156"/>
      <c r="C24" s="157"/>
      <c r="D24" s="150"/>
      <c r="E24" s="154"/>
      <c r="F24" s="192"/>
      <c r="G24" s="103"/>
      <c r="H24" s="103"/>
    </row>
    <row r="25" customFormat="false" ht="13.8" hidden="false" customHeight="true" outlineLevel="0" collapsed="false">
      <c r="A25" s="144" t="s">
        <v>195</v>
      </c>
      <c r="B25" s="231" t="s">
        <v>33</v>
      </c>
      <c r="C25" s="227"/>
      <c r="D25" s="147" t="s">
        <v>171</v>
      </c>
      <c r="E25" s="148" t="n">
        <f aca="false">'C - ARTIGIANALE INDUSTRIALE'!D11</f>
        <v>8.631936</v>
      </c>
      <c r="F25" s="228" t="n">
        <f aca="false">C25*E25</f>
        <v>0</v>
      </c>
      <c r="G25" s="103"/>
      <c r="H25" s="103"/>
    </row>
    <row r="26" customFormat="false" ht="13.8" hidden="false" customHeight="true" outlineLevel="0" collapsed="false">
      <c r="A26" s="144"/>
      <c r="B26" s="230" t="s">
        <v>193</v>
      </c>
      <c r="C26" s="227"/>
      <c r="D26" s="150" t="s">
        <v>172</v>
      </c>
      <c r="E26" s="160" t="n">
        <f aca="false">'C - ARTIGIANALE INDUSTRIALE'!D12</f>
        <v>7.90956</v>
      </c>
      <c r="F26" s="228" t="n">
        <f aca="false">C25*E26</f>
        <v>0</v>
      </c>
      <c r="G26" s="103"/>
      <c r="H26" s="103"/>
    </row>
    <row r="27" customFormat="false" ht="6" hidden="false" customHeight="true" outlineLevel="0" collapsed="false">
      <c r="A27" s="167"/>
      <c r="B27" s="156"/>
      <c r="C27" s="157"/>
      <c r="D27" s="150"/>
      <c r="E27" s="154"/>
      <c r="F27" s="154"/>
      <c r="G27" s="103"/>
      <c r="H27" s="103"/>
    </row>
    <row r="28" customFormat="false" ht="13.8" hidden="false" customHeight="true" outlineLevel="0" collapsed="false">
      <c r="A28" s="167"/>
      <c r="B28" s="156"/>
      <c r="C28" s="157"/>
      <c r="D28" s="150" t="s">
        <v>7</v>
      </c>
      <c r="E28" s="158"/>
      <c r="F28" s="228" t="n">
        <f aca="false">F25+F26</f>
        <v>0</v>
      </c>
      <c r="G28" s="103"/>
      <c r="H28" s="103"/>
    </row>
    <row r="29" customFormat="false" ht="13.8" hidden="false" customHeight="true" outlineLevel="0" collapsed="false">
      <c r="A29" s="167"/>
      <c r="B29" s="156"/>
      <c r="C29" s="157"/>
      <c r="D29" s="150"/>
      <c r="E29" s="154"/>
      <c r="F29" s="192"/>
      <c r="G29" s="103"/>
      <c r="H29" s="103"/>
    </row>
    <row r="30" customFormat="false" ht="14.7" hidden="false" customHeight="true" outlineLevel="0" collapsed="false">
      <c r="A30" s="144" t="n">
        <v>3</v>
      </c>
      <c r="B30" s="145" t="s">
        <v>60</v>
      </c>
      <c r="C30" s="227"/>
      <c r="D30" s="147" t="s">
        <v>171</v>
      </c>
      <c r="E30" s="148" t="n">
        <f aca="false">'C - ARTIGIANALE INDUSTRIALE'!C21</f>
        <v>15.345664</v>
      </c>
      <c r="F30" s="228" t="n">
        <f aca="false">C30*E30</f>
        <v>0</v>
      </c>
      <c r="G30" s="103"/>
      <c r="H30" s="103"/>
    </row>
    <row r="31" customFormat="false" ht="13.8" hidden="false" customHeight="true" outlineLevel="0" collapsed="false">
      <c r="A31" s="144"/>
      <c r="B31" s="145"/>
      <c r="C31" s="227"/>
      <c r="D31" s="150" t="s">
        <v>172</v>
      </c>
      <c r="E31" s="160" t="n">
        <f aca="false">'C - ARTIGIANALE INDUSTRIALE'!C22</f>
        <v>14.06144</v>
      </c>
      <c r="F31" s="228" t="n">
        <f aca="false">C30*E31</f>
        <v>0</v>
      </c>
      <c r="G31" s="103"/>
      <c r="H31" s="103"/>
    </row>
    <row r="32" customFormat="false" ht="6" hidden="false" customHeight="true" outlineLevel="0" collapsed="false">
      <c r="A32" s="167"/>
      <c r="B32" s="142"/>
      <c r="C32" s="153"/>
      <c r="D32" s="150"/>
      <c r="E32" s="154"/>
      <c r="F32" s="154"/>
      <c r="G32" s="103"/>
      <c r="H32" s="103"/>
    </row>
    <row r="33" customFormat="false" ht="13.8" hidden="false" customHeight="true" outlineLevel="0" collapsed="false">
      <c r="A33" s="167"/>
      <c r="B33" s="142"/>
      <c r="C33" s="157"/>
      <c r="D33" s="150" t="s">
        <v>7</v>
      </c>
      <c r="E33" s="158"/>
      <c r="F33" s="228" t="n">
        <f aca="false">F30+F31</f>
        <v>0</v>
      </c>
      <c r="G33" s="103"/>
      <c r="H33" s="103"/>
    </row>
    <row r="34" customFormat="false" ht="13.8" hidden="false" customHeight="true" outlineLevel="0" collapsed="false">
      <c r="A34" s="167"/>
      <c r="B34" s="142"/>
      <c r="C34" s="157"/>
      <c r="D34" s="150"/>
      <c r="E34" s="158"/>
      <c r="F34" s="101"/>
      <c r="G34" s="103"/>
      <c r="H34" s="103"/>
    </row>
    <row r="35" customFormat="false" ht="14.7" hidden="false" customHeight="true" outlineLevel="0" collapsed="false">
      <c r="A35" s="144" t="n">
        <v>4</v>
      </c>
      <c r="B35" s="145" t="s">
        <v>177</v>
      </c>
      <c r="C35" s="227"/>
      <c r="D35" s="147" t="s">
        <v>171</v>
      </c>
      <c r="E35" s="148" t="n">
        <f aca="false">'C - ARTIGIANALE INDUSTRIALE'!C15</f>
        <v>25.3203456</v>
      </c>
      <c r="F35" s="228" t="n">
        <f aca="false">C35*E35</f>
        <v>0</v>
      </c>
      <c r="G35" s="103"/>
      <c r="H35" s="103"/>
    </row>
    <row r="36" customFormat="false" ht="13.8" hidden="false" customHeight="true" outlineLevel="0" collapsed="false">
      <c r="A36" s="144"/>
      <c r="B36" s="145"/>
      <c r="C36" s="227"/>
      <c r="D36" s="150" t="s">
        <v>172</v>
      </c>
      <c r="E36" s="160" t="n">
        <f aca="false">'C - ARTIGIANALE INDUSTRIALE'!C16</f>
        <v>23.201376</v>
      </c>
      <c r="F36" s="228" t="n">
        <f aca="false">C35*E36</f>
        <v>0</v>
      </c>
      <c r="G36" s="103"/>
      <c r="H36" s="103"/>
    </row>
    <row r="37" customFormat="false" ht="6" hidden="false" customHeight="true" outlineLevel="0" collapsed="false">
      <c r="A37" s="167"/>
      <c r="B37" s="142"/>
      <c r="C37" s="153"/>
      <c r="D37" s="150"/>
      <c r="E37" s="154"/>
      <c r="F37" s="154"/>
      <c r="G37" s="103"/>
      <c r="H37" s="103"/>
    </row>
    <row r="38" customFormat="false" ht="13.8" hidden="false" customHeight="true" outlineLevel="0" collapsed="false">
      <c r="A38" s="167"/>
      <c r="B38" s="142"/>
      <c r="C38" s="157"/>
      <c r="D38" s="150" t="s">
        <v>7</v>
      </c>
      <c r="E38" s="158"/>
      <c r="F38" s="228" t="n">
        <f aca="false">F35+F36</f>
        <v>0</v>
      </c>
      <c r="G38" s="103"/>
      <c r="H38" s="103"/>
    </row>
    <row r="39" customFormat="false" ht="13.8" hidden="false" customHeight="true" outlineLevel="0" collapsed="false">
      <c r="A39" s="167"/>
      <c r="B39" s="142"/>
      <c r="C39" s="157"/>
      <c r="D39" s="150"/>
      <c r="E39" s="158"/>
      <c r="F39" s="101"/>
      <c r="G39" s="103"/>
      <c r="H39" s="103"/>
    </row>
    <row r="40" customFormat="false" ht="14.7" hidden="false" customHeight="true" outlineLevel="0" collapsed="false">
      <c r="A40" s="144" t="n">
        <v>5</v>
      </c>
      <c r="B40" s="145" t="s">
        <v>196</v>
      </c>
      <c r="C40" s="146"/>
      <c r="D40" s="147" t="s">
        <v>171</v>
      </c>
      <c r="E40" s="148" t="n">
        <f aca="false">'C - ARTIGIANALE INDUSTRIALE'!C18</f>
        <v>7.4810112</v>
      </c>
      <c r="F40" s="228" t="n">
        <f aca="false">C40*E40</f>
        <v>0</v>
      </c>
      <c r="G40" s="103"/>
      <c r="H40" s="103"/>
    </row>
    <row r="41" customFormat="false" ht="13.8" hidden="false" customHeight="true" outlineLevel="0" collapsed="false">
      <c r="A41" s="144"/>
      <c r="B41" s="145"/>
      <c r="C41" s="146"/>
      <c r="D41" s="150" t="s">
        <v>172</v>
      </c>
      <c r="E41" s="160" t="n">
        <f aca="false">'C - ARTIGIANALE INDUSTRIALE'!C19</f>
        <v>6.854952</v>
      </c>
      <c r="F41" s="228" t="n">
        <f aca="false">C40*E41</f>
        <v>0</v>
      </c>
      <c r="G41" s="103"/>
      <c r="H41" s="103"/>
    </row>
    <row r="42" customFormat="false" ht="6" hidden="false" customHeight="true" outlineLevel="0" collapsed="false">
      <c r="A42" s="167"/>
      <c r="B42" s="142"/>
      <c r="C42" s="153"/>
      <c r="D42" s="150"/>
      <c r="E42" s="154"/>
      <c r="F42" s="154"/>
      <c r="G42" s="103"/>
      <c r="H42" s="103"/>
    </row>
    <row r="43" customFormat="false" ht="13.8" hidden="false" customHeight="true" outlineLevel="0" collapsed="false">
      <c r="A43" s="167"/>
      <c r="B43" s="142"/>
      <c r="C43" s="157"/>
      <c r="D43" s="150" t="s">
        <v>7</v>
      </c>
      <c r="E43" s="158"/>
      <c r="F43" s="228" t="n">
        <f aca="false">F40+F41</f>
        <v>0</v>
      </c>
      <c r="G43" s="103"/>
      <c r="H43" s="103"/>
    </row>
    <row r="44" customFormat="false" ht="13.8" hidden="false" customHeight="true" outlineLevel="0" collapsed="false">
      <c r="A44" s="167"/>
      <c r="B44" s="142"/>
      <c r="C44" s="157"/>
      <c r="D44" s="150"/>
      <c r="E44" s="158"/>
      <c r="F44" s="101"/>
      <c r="G44" s="103"/>
      <c r="H44" s="103"/>
    </row>
    <row r="45" customFormat="false" ht="13.8" hidden="false" customHeight="true" outlineLevel="0" collapsed="false">
      <c r="A45" s="144"/>
      <c r="B45" s="180" t="s">
        <v>179</v>
      </c>
      <c r="C45" s="181"/>
      <c r="D45" s="182"/>
      <c r="E45" s="183"/>
      <c r="F45" s="232"/>
      <c r="G45" s="103"/>
      <c r="H45" s="103"/>
    </row>
    <row r="46" customFormat="false" ht="14.7" hidden="false" customHeight="true" outlineLevel="0" collapsed="false">
      <c r="A46" s="144" t="s">
        <v>178</v>
      </c>
      <c r="B46" s="185" t="s">
        <v>180</v>
      </c>
      <c r="C46" s="146"/>
      <c r="D46" s="147" t="s">
        <v>171</v>
      </c>
      <c r="E46" s="186" t="n">
        <f aca="false">'C - ARTIGIANALE INDUSTRIALE'!C24</f>
        <v>29.9240448</v>
      </c>
      <c r="F46" s="233" t="n">
        <f aca="false">C46*E46</f>
        <v>0</v>
      </c>
      <c r="G46" s="103"/>
      <c r="H46" s="103"/>
    </row>
    <row r="47" customFormat="false" ht="13.8" hidden="false" customHeight="true" outlineLevel="0" collapsed="false">
      <c r="A47" s="144"/>
      <c r="B47" s="185"/>
      <c r="C47" s="146"/>
      <c r="D47" s="150" t="s">
        <v>172</v>
      </c>
      <c r="E47" s="187" t="n">
        <f aca="false">'C - ARTIGIANALE INDUSTRIALE'!C25</f>
        <v>27.419808</v>
      </c>
      <c r="F47" s="233" t="n">
        <f aca="false">C46*E47</f>
        <v>0</v>
      </c>
      <c r="G47" s="103"/>
      <c r="H47" s="103"/>
    </row>
    <row r="48" s="1" customFormat="true" ht="6" hidden="false" customHeight="true" outlineLevel="0" collapsed="false">
      <c r="A48" s="188"/>
      <c r="B48" s="169"/>
      <c r="C48" s="157"/>
      <c r="D48" s="150"/>
      <c r="E48" s="102"/>
      <c r="F48" s="234"/>
      <c r="G48" s="103"/>
      <c r="H48" s="103"/>
      <c r="I48" s="103"/>
      <c r="J48" s="103"/>
      <c r="K48" s="103"/>
      <c r="L48" s="103"/>
      <c r="M48" s="88"/>
      <c r="N48" s="88"/>
      <c r="O48" s="88"/>
      <c r="P48" s="88"/>
      <c r="Q48" s="88"/>
      <c r="R48" s="88"/>
      <c r="S48" s="88"/>
      <c r="T48" s="88"/>
      <c r="U48" s="88"/>
      <c r="V48" s="88"/>
    </row>
    <row r="49" customFormat="false" ht="14.7" hidden="false" customHeight="true" outlineLevel="0" collapsed="false">
      <c r="A49" s="235"/>
      <c r="B49" s="171"/>
      <c r="C49" s="157"/>
      <c r="D49" s="150" t="s">
        <v>7</v>
      </c>
      <c r="E49" s="102"/>
      <c r="F49" s="233" t="n">
        <f aca="false">F46+F47</f>
        <v>0</v>
      </c>
      <c r="G49" s="103"/>
      <c r="H49" s="103"/>
    </row>
    <row r="50" customFormat="false" ht="14.7" hidden="false" customHeight="true" outlineLevel="0" collapsed="false">
      <c r="A50" s="188"/>
      <c r="B50" s="171"/>
      <c r="C50" s="157"/>
      <c r="D50" s="150"/>
      <c r="E50" s="102"/>
      <c r="F50" s="236"/>
      <c r="G50" s="103"/>
      <c r="H50" s="103"/>
    </row>
    <row r="51" customFormat="false" ht="14.7" hidden="false" customHeight="true" outlineLevel="0" collapsed="false">
      <c r="A51" s="144" t="s">
        <v>181</v>
      </c>
      <c r="B51" s="185" t="s">
        <v>182</v>
      </c>
      <c r="C51" s="237"/>
      <c r="D51" s="147" t="s">
        <v>171</v>
      </c>
      <c r="E51" s="186" t="n">
        <f aca="false">'C - ARTIGIANALE INDUSTRIALE'!C27</f>
        <v>24.936704</v>
      </c>
      <c r="F51" s="233" t="n">
        <f aca="false">C51*E51</f>
        <v>0</v>
      </c>
      <c r="G51" s="103"/>
      <c r="H51" s="103"/>
    </row>
    <row r="52" customFormat="false" ht="13.8" hidden="false" customHeight="true" outlineLevel="0" collapsed="false">
      <c r="A52" s="144"/>
      <c r="B52" s="185"/>
      <c r="C52" s="237"/>
      <c r="D52" s="150" t="s">
        <v>172</v>
      </c>
      <c r="E52" s="187" t="n">
        <f aca="false">'C - ARTIGIANALE INDUSTRIALE'!C28</f>
        <v>22.84984</v>
      </c>
      <c r="F52" s="233" t="n">
        <f aca="false">C51*E52</f>
        <v>0</v>
      </c>
      <c r="G52" s="103"/>
      <c r="H52" s="103"/>
    </row>
    <row r="53" customFormat="false" ht="6" hidden="false" customHeight="true" outlineLevel="0" collapsed="false">
      <c r="A53" s="188"/>
      <c r="B53" s="171"/>
      <c r="C53" s="157"/>
      <c r="D53" s="150"/>
      <c r="E53" s="102"/>
      <c r="F53" s="234"/>
      <c r="G53" s="103"/>
      <c r="H53" s="103"/>
    </row>
    <row r="54" customFormat="false" ht="14.7" hidden="false" customHeight="true" outlineLevel="0" collapsed="false">
      <c r="A54" s="188"/>
      <c r="B54" s="171"/>
      <c r="C54" s="157"/>
      <c r="D54" s="150" t="s">
        <v>7</v>
      </c>
      <c r="E54" s="102"/>
      <c r="F54" s="233" t="n">
        <f aca="false">F51+F52</f>
        <v>0</v>
      </c>
      <c r="G54" s="103"/>
      <c r="H54" s="103"/>
    </row>
    <row r="55" customFormat="false" ht="14.7" hidden="false" customHeight="true" outlineLevel="0" collapsed="false">
      <c r="A55" s="144"/>
      <c r="B55" s="171"/>
      <c r="C55" s="157"/>
      <c r="D55" s="150"/>
      <c r="E55" s="102"/>
      <c r="F55" s="236"/>
      <c r="G55" s="103"/>
      <c r="H55" s="103"/>
    </row>
    <row r="56" customFormat="false" ht="14.7" hidden="false" customHeight="true" outlineLevel="0" collapsed="false">
      <c r="A56" s="144" t="s">
        <v>183</v>
      </c>
      <c r="B56" s="185" t="s">
        <v>184</v>
      </c>
      <c r="C56" s="146"/>
      <c r="D56" s="147" t="s">
        <v>171</v>
      </c>
      <c r="E56" s="186" t="n">
        <f aca="false">'C - ARTIGIANALE INDUSTRIALE'!C30</f>
        <v>24.1694208</v>
      </c>
      <c r="F56" s="233" t="n">
        <f aca="false">C56*E56</f>
        <v>0</v>
      </c>
      <c r="G56" s="103"/>
      <c r="H56" s="103"/>
    </row>
    <row r="57" customFormat="false" ht="14.7" hidden="false" customHeight="true" outlineLevel="0" collapsed="false">
      <c r="A57" s="144"/>
      <c r="B57" s="185"/>
      <c r="C57" s="146"/>
      <c r="D57" s="150" t="s">
        <v>172</v>
      </c>
      <c r="E57" s="189" t="n">
        <f aca="false">'C - ARTIGIANALE INDUSTRIALE'!C31</f>
        <v>22.146768</v>
      </c>
      <c r="F57" s="233" t="n">
        <f aca="false">C56*E57</f>
        <v>0</v>
      </c>
      <c r="G57" s="103"/>
      <c r="H57" s="103"/>
    </row>
    <row r="58" customFormat="false" ht="6" hidden="false" customHeight="true" outlineLevel="0" collapsed="false">
      <c r="A58" s="188"/>
      <c r="B58" s="171"/>
      <c r="C58" s="157"/>
      <c r="D58" s="150"/>
      <c r="E58" s="154"/>
      <c r="F58" s="234"/>
      <c r="G58" s="103"/>
      <c r="H58" s="103"/>
    </row>
    <row r="59" customFormat="false" ht="13.8" hidden="false" customHeight="true" outlineLevel="0" collapsed="false">
      <c r="A59" s="167"/>
      <c r="B59" s="174"/>
      <c r="C59" s="190"/>
      <c r="D59" s="176" t="s">
        <v>7</v>
      </c>
      <c r="E59" s="191"/>
      <c r="F59" s="238" t="n">
        <f aca="false">F56+F57</f>
        <v>0</v>
      </c>
      <c r="G59" s="103"/>
      <c r="H59" s="103"/>
    </row>
    <row r="60" customFormat="false" ht="10.5" hidden="false" customHeight="true" outlineLevel="0" collapsed="false">
      <c r="A60" s="167"/>
      <c r="B60" s="142"/>
      <c r="C60" s="153"/>
      <c r="D60" s="150"/>
      <c r="E60" s="154"/>
      <c r="F60" s="154"/>
      <c r="G60" s="103"/>
      <c r="H60" s="103"/>
    </row>
    <row r="61" customFormat="false" ht="13.8" hidden="false" customHeight="true" outlineLevel="0" collapsed="false">
      <c r="A61" s="167"/>
      <c r="B61" s="142"/>
      <c r="C61" s="239" t="s">
        <v>185</v>
      </c>
      <c r="D61" s="150" t="s">
        <v>171</v>
      </c>
      <c r="E61" s="158"/>
      <c r="F61" s="240" t="n">
        <f aca="false">F10+F15+F20+F25+F30+F35+F40+F46+F51+F56</f>
        <v>0</v>
      </c>
      <c r="G61" s="103"/>
      <c r="H61" s="103"/>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row>
    <row r="62" customFormat="false" ht="13.8" hidden="false" customHeight="true" outlineLevel="0" collapsed="false">
      <c r="A62" s="241"/>
      <c r="B62" s="197"/>
      <c r="C62" s="239"/>
      <c r="D62" s="198" t="s">
        <v>172</v>
      </c>
      <c r="E62" s="194"/>
      <c r="F62" s="242" t="n">
        <f aca="false">F11+F16+F21+F26+F31+F36+F41+F47+F52+F57</f>
        <v>0</v>
      </c>
      <c r="G62" s="103"/>
      <c r="H62" s="103"/>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row>
    <row r="63" customFormat="false" ht="13.8" hidden="false" customHeight="true" outlineLevel="0" collapsed="false">
      <c r="A63" s="200" t="s">
        <v>197</v>
      </c>
      <c r="C63" s="243"/>
      <c r="D63" s="244"/>
      <c r="E63" s="245"/>
      <c r="F63" s="246"/>
      <c r="G63" s="201"/>
      <c r="H63" s="247"/>
    </row>
    <row r="64" customFormat="false" ht="19.5" hidden="false" customHeight="true" outlineLevel="0" collapsed="false"/>
  </sheetData>
  <sheetProtection sheet="true" objects="true" scenarios="true"/>
  <mergeCells count="36">
    <mergeCell ref="A1:H1"/>
    <mergeCell ref="A2:H2"/>
    <mergeCell ref="A4:H4"/>
    <mergeCell ref="B6:C6"/>
    <mergeCell ref="E6:F6"/>
    <mergeCell ref="G6:H6"/>
    <mergeCell ref="A8:B8"/>
    <mergeCell ref="A10:A11"/>
    <mergeCell ref="B10:B11"/>
    <mergeCell ref="C10:C11"/>
    <mergeCell ref="A15:A16"/>
    <mergeCell ref="C15:C16"/>
    <mergeCell ref="A20:A21"/>
    <mergeCell ref="B20:B21"/>
    <mergeCell ref="C20:C21"/>
    <mergeCell ref="A25:A26"/>
    <mergeCell ref="C25:C26"/>
    <mergeCell ref="A30:A31"/>
    <mergeCell ref="B30:B31"/>
    <mergeCell ref="C30:C31"/>
    <mergeCell ref="A35:A36"/>
    <mergeCell ref="B35:B36"/>
    <mergeCell ref="C35:C36"/>
    <mergeCell ref="A40:A41"/>
    <mergeCell ref="B40:B41"/>
    <mergeCell ref="C40:C41"/>
    <mergeCell ref="A46:A47"/>
    <mergeCell ref="B46:B47"/>
    <mergeCell ref="C46:C47"/>
    <mergeCell ref="A51:A52"/>
    <mergeCell ref="B51:B52"/>
    <mergeCell ref="C51:C52"/>
    <mergeCell ref="A56:A57"/>
    <mergeCell ref="B56:B57"/>
    <mergeCell ref="C56:C57"/>
    <mergeCell ref="C61:C62"/>
  </mergeCells>
  <printOptions headings="false" gridLines="false" gridLinesSet="true" horizontalCentered="true" verticalCentered="false"/>
  <pageMargins left="0.7875" right="0.7875" top="0.590277777777778" bottom="0.511805555555556"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O63"/>
  <sheetViews>
    <sheetView showFormulas="false" showGridLines="true" showRowColHeaders="true" showZeros="true" rightToLeft="false" tabSelected="false" showOutlineSymbols="true" defaultGridColor="true" view="normal" topLeftCell="A43" colorId="64" zoomScale="150" zoomScaleNormal="150" zoomScalePageLayoutView="100" workbookViewId="0">
      <selection pane="topLeft" activeCell="E57" activeCellId="0" sqref="E57"/>
    </sheetView>
  </sheetViews>
  <sheetFormatPr defaultColWidth="8.5078125" defaultRowHeight="13.8" zeroHeight="false" outlineLevelRow="0" outlineLevelCol="0"/>
  <cols>
    <col collapsed="false" customWidth="true" hidden="false" outlineLevel="0" max="1" min="1" style="200" width="4.85"/>
    <col collapsed="false" customWidth="true" hidden="false" outlineLevel="0" max="2" min="2" style="103" width="45.62"/>
    <col collapsed="false" customWidth="true" hidden="false" outlineLevel="0" max="3" min="3" style="201" width="9.48"/>
    <col collapsed="false" customWidth="true" hidden="false" outlineLevel="0" max="4" min="4" style="103" width="10.29"/>
    <col collapsed="false" customWidth="true" hidden="false" outlineLevel="0" max="5" min="5" style="202" width="6.73"/>
    <col collapsed="false" customWidth="true" hidden="false" outlineLevel="0" max="6" min="6" style="202" width="9.29"/>
    <col collapsed="false" customWidth="true" hidden="false" outlineLevel="0" max="7" min="7" style="202" width="6.29"/>
    <col collapsed="false" customWidth="false" hidden="false" outlineLevel="0" max="8" min="8" style="203" width="8.49"/>
    <col collapsed="false" customWidth="false" hidden="false" outlineLevel="0" max="180" min="9" style="1" width="8.49"/>
  </cols>
  <sheetData>
    <row r="1" customFormat="false" ht="13.2" hidden="false" customHeight="true" outlineLevel="0" collapsed="false">
      <c r="A1" s="104" t="s">
        <v>198</v>
      </c>
      <c r="B1" s="104"/>
      <c r="C1" s="104"/>
      <c r="D1" s="104"/>
      <c r="E1" s="104"/>
      <c r="F1" s="104"/>
      <c r="G1" s="104"/>
      <c r="H1" s="104"/>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row>
    <row r="2" customFormat="false" ht="17.25" hidden="false" customHeight="true" outlineLevel="0" collapsed="false">
      <c r="A2" s="204" t="s">
        <v>160</v>
      </c>
      <c r="B2" s="204"/>
      <c r="C2" s="204"/>
      <c r="D2" s="204"/>
      <c r="E2" s="204"/>
      <c r="F2" s="204"/>
      <c r="G2" s="204"/>
      <c r="H2" s="204"/>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row>
    <row r="3" customFormat="false" ht="6" hidden="false" customHeight="true" outlineLevel="0" collapsed="false">
      <c r="A3" s="205"/>
      <c r="B3" s="101"/>
      <c r="C3" s="87"/>
      <c r="D3" s="102"/>
      <c r="E3" s="102"/>
      <c r="F3" s="102"/>
      <c r="G3" s="102"/>
    </row>
    <row r="4" s="112" customFormat="true" ht="16.95" hidden="false" customHeight="true" outlineLevel="0" collapsed="false">
      <c r="A4" s="206" t="s">
        <v>199</v>
      </c>
      <c r="B4" s="206"/>
      <c r="C4" s="206"/>
      <c r="D4" s="206"/>
      <c r="E4" s="206"/>
      <c r="F4" s="206"/>
      <c r="G4" s="206"/>
      <c r="H4" s="206"/>
    </row>
    <row r="5" s="111" customFormat="true" ht="16.95" hidden="false" customHeight="true" outlineLevel="0" collapsed="false">
      <c r="A5" s="207"/>
    </row>
    <row r="6" s="112" customFormat="true" ht="18" hidden="false" customHeight="true" outlineLevel="0" collapsed="false">
      <c r="A6" s="208" t="s">
        <v>161</v>
      </c>
      <c r="B6" s="248"/>
      <c r="C6" s="248"/>
      <c r="D6" s="210"/>
      <c r="E6" s="107" t="s">
        <v>162</v>
      </c>
      <c r="F6" s="107"/>
      <c r="G6" s="249"/>
      <c r="H6" s="249"/>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row>
    <row r="7" s="112" customFormat="true" ht="6" hidden="false" customHeight="true" outlineLevel="0" collapsed="false">
      <c r="A7" s="212"/>
      <c r="B7" s="123"/>
      <c r="C7" s="122"/>
      <c r="D7" s="123"/>
      <c r="E7" s="123"/>
      <c r="F7" s="123"/>
      <c r="G7" s="123"/>
      <c r="H7" s="213"/>
    </row>
    <row r="8" s="129" customFormat="true" ht="37.5" hidden="false" customHeight="true" outlineLevel="0" collapsed="false">
      <c r="A8" s="214" t="s">
        <v>163</v>
      </c>
      <c r="B8" s="214"/>
      <c r="C8" s="215" t="s">
        <v>187</v>
      </c>
      <c r="D8" s="216"/>
      <c r="E8" s="217" t="s">
        <v>188</v>
      </c>
      <c r="F8" s="217" t="s">
        <v>189</v>
      </c>
      <c r="G8" s="250"/>
      <c r="H8" s="220"/>
    </row>
    <row r="9" s="138" customFormat="true" ht="9.9" hidden="false" customHeight="true" outlineLevel="0" collapsed="false">
      <c r="A9" s="221"/>
      <c r="B9" s="222"/>
      <c r="C9" s="223"/>
      <c r="D9" s="224"/>
      <c r="E9" s="223"/>
      <c r="F9" s="223"/>
      <c r="G9" s="225"/>
      <c r="H9" s="226"/>
    </row>
    <row r="10" s="1" customFormat="true" ht="14.7" hidden="false" customHeight="true" outlineLevel="0" collapsed="false">
      <c r="A10" s="144" t="s">
        <v>190</v>
      </c>
      <c r="B10" s="145" t="s">
        <v>191</v>
      </c>
      <c r="C10" s="146"/>
      <c r="D10" s="147" t="s">
        <v>171</v>
      </c>
      <c r="E10" s="148" t="n">
        <f aca="false">'D - ARTIG INDUST CAT SPECIALE'!C7</f>
        <v>6.230112</v>
      </c>
      <c r="F10" s="149" t="n">
        <f aca="false">C10*E10</f>
        <v>0</v>
      </c>
      <c r="G10" s="103"/>
      <c r="H10" s="103"/>
    </row>
    <row r="11" customFormat="false" ht="13.8" hidden="false" customHeight="true" outlineLevel="0" collapsed="false">
      <c r="A11" s="144"/>
      <c r="B11" s="145"/>
      <c r="C11" s="146"/>
      <c r="D11" s="150" t="s">
        <v>172</v>
      </c>
      <c r="E11" s="160" t="n">
        <f aca="false">'D - ARTIG INDUST CAT SPECIALE'!C8</f>
        <v>5.27304</v>
      </c>
      <c r="F11" s="149" t="n">
        <f aca="false">C10*E11</f>
        <v>0</v>
      </c>
      <c r="G11" s="103"/>
      <c r="H11" s="103"/>
    </row>
    <row r="12" customFormat="false" ht="6" hidden="false" customHeight="true" outlineLevel="0" collapsed="false">
      <c r="A12" s="167"/>
      <c r="B12" s="142"/>
      <c r="C12" s="153"/>
      <c r="D12" s="150"/>
      <c r="E12" s="154"/>
      <c r="F12" s="155"/>
      <c r="G12" s="103"/>
      <c r="H12" s="103"/>
    </row>
    <row r="13" customFormat="false" ht="13.8" hidden="false" customHeight="true" outlineLevel="0" collapsed="false">
      <c r="A13" s="167"/>
      <c r="B13" s="156"/>
      <c r="C13" s="157"/>
      <c r="D13" s="150" t="s">
        <v>7</v>
      </c>
      <c r="E13" s="158"/>
      <c r="F13" s="149" t="n">
        <f aca="false">F10+F11</f>
        <v>0</v>
      </c>
      <c r="G13" s="103"/>
      <c r="H13" s="103"/>
    </row>
    <row r="14" customFormat="false" ht="13.8" hidden="false" customHeight="true" outlineLevel="0" collapsed="false">
      <c r="A14" s="167"/>
      <c r="B14" s="156"/>
      <c r="C14" s="157"/>
      <c r="D14" s="150"/>
      <c r="E14" s="154"/>
      <c r="F14" s="251"/>
      <c r="G14" s="103"/>
      <c r="H14" s="103"/>
    </row>
    <row r="15" customFormat="false" ht="27" hidden="false" customHeight="true" outlineLevel="0" collapsed="false">
      <c r="A15" s="188" t="s">
        <v>192</v>
      </c>
      <c r="B15" s="231" t="s">
        <v>191</v>
      </c>
      <c r="C15" s="146"/>
      <c r="D15" s="147" t="s">
        <v>171</v>
      </c>
      <c r="E15" s="148" t="n">
        <f aca="false">'D - ARTIG INDUST CAT SPECIALE'!D7</f>
        <v>9.345168</v>
      </c>
      <c r="F15" s="149" t="n">
        <f aca="false">C15*E15</f>
        <v>0</v>
      </c>
      <c r="G15" s="103"/>
      <c r="H15" s="103"/>
    </row>
    <row r="16" customFormat="false" ht="13.8" hidden="false" customHeight="true" outlineLevel="0" collapsed="false">
      <c r="A16" s="167"/>
      <c r="B16" s="230" t="s">
        <v>193</v>
      </c>
      <c r="C16" s="146"/>
      <c r="D16" s="150" t="s">
        <v>172</v>
      </c>
      <c r="E16" s="160" t="n">
        <f aca="false">'D - ARTIG INDUST CAT SPECIALE'!D8</f>
        <v>7.90956</v>
      </c>
      <c r="F16" s="149" t="n">
        <f aca="false">C15*E16</f>
        <v>0</v>
      </c>
      <c r="G16" s="103"/>
      <c r="H16" s="103"/>
    </row>
    <row r="17" customFormat="false" ht="6" hidden="false" customHeight="true" outlineLevel="0" collapsed="false">
      <c r="A17" s="167"/>
      <c r="B17" s="156"/>
      <c r="C17" s="157"/>
      <c r="D17" s="150"/>
      <c r="E17" s="154"/>
      <c r="F17" s="155"/>
      <c r="G17" s="103"/>
      <c r="H17" s="103"/>
    </row>
    <row r="18" customFormat="false" ht="13.8" hidden="false" customHeight="true" outlineLevel="0" collapsed="false">
      <c r="A18" s="167"/>
      <c r="B18" s="156"/>
      <c r="C18" s="157"/>
      <c r="D18" s="150" t="s">
        <v>7</v>
      </c>
      <c r="E18" s="158"/>
      <c r="F18" s="149" t="n">
        <f aca="false">F15+F16</f>
        <v>0</v>
      </c>
      <c r="G18" s="103"/>
      <c r="H18" s="103"/>
    </row>
    <row r="19" customFormat="false" ht="13.8" hidden="false" customHeight="true" outlineLevel="0" collapsed="false">
      <c r="A19" s="167"/>
      <c r="B19" s="156"/>
      <c r="C19" s="157"/>
      <c r="D19" s="150"/>
      <c r="E19" s="154"/>
      <c r="F19" s="251"/>
      <c r="G19" s="103"/>
      <c r="H19" s="103"/>
    </row>
    <row r="20" customFormat="false" ht="14.7" hidden="false" customHeight="true" outlineLevel="0" collapsed="false">
      <c r="A20" s="144" t="s">
        <v>194</v>
      </c>
      <c r="B20" s="145" t="s">
        <v>33</v>
      </c>
      <c r="C20" s="146"/>
      <c r="D20" s="147" t="s">
        <v>171</v>
      </c>
      <c r="E20" s="148" t="n">
        <f aca="false">'D - ARTIG INDUST CAT SPECIALE'!C11</f>
        <v>6.230112</v>
      </c>
      <c r="F20" s="149" t="n">
        <f aca="false">C20*E20</f>
        <v>0</v>
      </c>
      <c r="G20" s="103"/>
      <c r="H20" s="103"/>
    </row>
    <row r="21" customFormat="false" ht="13.8" hidden="false" customHeight="true" outlineLevel="0" collapsed="false">
      <c r="A21" s="144"/>
      <c r="B21" s="145"/>
      <c r="C21" s="146"/>
      <c r="D21" s="150" t="s">
        <v>172</v>
      </c>
      <c r="E21" s="160" t="n">
        <f aca="false">'D - ARTIG INDUST CAT SPECIALE'!C12</f>
        <v>5.27304</v>
      </c>
      <c r="F21" s="149" t="n">
        <f aca="false">C20*E21</f>
        <v>0</v>
      </c>
      <c r="G21" s="103"/>
      <c r="H21" s="103"/>
    </row>
    <row r="22" customFormat="false" ht="6" hidden="false" customHeight="true" outlineLevel="0" collapsed="false">
      <c r="A22" s="167"/>
      <c r="B22" s="142"/>
      <c r="C22" s="153"/>
      <c r="D22" s="150"/>
      <c r="E22" s="154"/>
      <c r="F22" s="155"/>
      <c r="G22" s="103"/>
      <c r="H22" s="103"/>
    </row>
    <row r="23" customFormat="false" ht="13.8" hidden="false" customHeight="true" outlineLevel="0" collapsed="false">
      <c r="A23" s="167"/>
      <c r="B23" s="156"/>
      <c r="C23" s="157"/>
      <c r="D23" s="150" t="s">
        <v>7</v>
      </c>
      <c r="E23" s="158"/>
      <c r="F23" s="149" t="n">
        <f aca="false">F20+F21</f>
        <v>0</v>
      </c>
      <c r="G23" s="103"/>
      <c r="H23" s="103"/>
    </row>
    <row r="24" customFormat="false" ht="13.8" hidden="false" customHeight="true" outlineLevel="0" collapsed="false">
      <c r="A24" s="167"/>
      <c r="B24" s="156"/>
      <c r="C24" s="157"/>
      <c r="D24" s="150"/>
      <c r="E24" s="154"/>
      <c r="F24" s="251"/>
      <c r="G24" s="103"/>
      <c r="H24" s="103"/>
    </row>
    <row r="25" customFormat="false" ht="13.8" hidden="false" customHeight="true" outlineLevel="0" collapsed="false">
      <c r="A25" s="144" t="s">
        <v>195</v>
      </c>
      <c r="B25" s="231" t="s">
        <v>33</v>
      </c>
      <c r="C25" s="146"/>
      <c r="D25" s="147" t="s">
        <v>171</v>
      </c>
      <c r="E25" s="148" t="n">
        <f aca="false">'D - ARTIG INDUST CAT SPECIALE'!D11</f>
        <v>9.345168</v>
      </c>
      <c r="F25" s="149" t="n">
        <f aca="false">C25*E25</f>
        <v>0</v>
      </c>
      <c r="G25" s="103"/>
      <c r="H25" s="103"/>
    </row>
    <row r="26" customFormat="false" ht="13.8" hidden="false" customHeight="true" outlineLevel="0" collapsed="false">
      <c r="A26" s="144"/>
      <c r="B26" s="230" t="s">
        <v>193</v>
      </c>
      <c r="C26" s="146"/>
      <c r="D26" s="150" t="s">
        <v>172</v>
      </c>
      <c r="E26" s="160" t="n">
        <f aca="false">'D - ARTIG INDUST CAT SPECIALE'!D12</f>
        <v>7.90956</v>
      </c>
      <c r="F26" s="149" t="n">
        <f aca="false">C25*E26</f>
        <v>0</v>
      </c>
      <c r="G26" s="103"/>
      <c r="H26" s="103"/>
    </row>
    <row r="27" customFormat="false" ht="6" hidden="false" customHeight="true" outlineLevel="0" collapsed="false">
      <c r="A27" s="167"/>
      <c r="B27" s="156"/>
      <c r="C27" s="157"/>
      <c r="D27" s="150"/>
      <c r="E27" s="154"/>
      <c r="F27" s="155"/>
      <c r="G27" s="103"/>
      <c r="H27" s="103"/>
    </row>
    <row r="28" customFormat="false" ht="13.8" hidden="false" customHeight="true" outlineLevel="0" collapsed="false">
      <c r="A28" s="167"/>
      <c r="B28" s="156"/>
      <c r="C28" s="157"/>
      <c r="D28" s="150" t="s">
        <v>7</v>
      </c>
      <c r="E28" s="158"/>
      <c r="F28" s="149" t="n">
        <f aca="false">F25+F26</f>
        <v>0</v>
      </c>
      <c r="G28" s="103"/>
      <c r="H28" s="103"/>
    </row>
    <row r="29" customFormat="false" ht="13.8" hidden="false" customHeight="true" outlineLevel="0" collapsed="false">
      <c r="A29" s="167"/>
      <c r="B29" s="156"/>
      <c r="C29" s="157"/>
      <c r="D29" s="150"/>
      <c r="E29" s="154"/>
      <c r="F29" s="251"/>
      <c r="G29" s="103"/>
      <c r="H29" s="103"/>
    </row>
    <row r="30" customFormat="false" ht="14.7" hidden="false" customHeight="true" outlineLevel="0" collapsed="false">
      <c r="A30" s="144" t="n">
        <v>3</v>
      </c>
      <c r="B30" s="145" t="s">
        <v>60</v>
      </c>
      <c r="C30" s="146"/>
      <c r="D30" s="147" t="s">
        <v>171</v>
      </c>
      <c r="E30" s="148" t="n">
        <f aca="false">'D - ARTIG INDUST CAT SPECIALE'!C21</f>
        <v>16.613632</v>
      </c>
      <c r="F30" s="149" t="n">
        <f aca="false">C30*E30</f>
        <v>0</v>
      </c>
      <c r="G30" s="103"/>
      <c r="H30" s="103"/>
    </row>
    <row r="31" customFormat="false" ht="13.8" hidden="false" customHeight="true" outlineLevel="0" collapsed="false">
      <c r="A31" s="144"/>
      <c r="B31" s="145"/>
      <c r="C31" s="146"/>
      <c r="D31" s="150" t="s">
        <v>172</v>
      </c>
      <c r="E31" s="160" t="n">
        <f aca="false">'D - ARTIG INDUST CAT SPECIALE'!C22</f>
        <v>14.06144</v>
      </c>
      <c r="F31" s="149" t="n">
        <f aca="false">C30*E31</f>
        <v>0</v>
      </c>
      <c r="G31" s="103"/>
      <c r="H31" s="103"/>
    </row>
    <row r="32" customFormat="false" ht="6" hidden="false" customHeight="true" outlineLevel="0" collapsed="false">
      <c r="A32" s="167"/>
      <c r="B32" s="142"/>
      <c r="C32" s="153"/>
      <c r="D32" s="150"/>
      <c r="E32" s="154"/>
      <c r="F32" s="155"/>
      <c r="G32" s="103"/>
      <c r="H32" s="103"/>
    </row>
    <row r="33" customFormat="false" ht="13.8" hidden="false" customHeight="true" outlineLevel="0" collapsed="false">
      <c r="A33" s="167"/>
      <c r="B33" s="142"/>
      <c r="C33" s="157"/>
      <c r="D33" s="150" t="s">
        <v>7</v>
      </c>
      <c r="E33" s="158"/>
      <c r="F33" s="149" t="n">
        <f aca="false">F30+F31</f>
        <v>0</v>
      </c>
      <c r="G33" s="103"/>
      <c r="H33" s="103"/>
    </row>
    <row r="34" customFormat="false" ht="13.8" hidden="false" customHeight="true" outlineLevel="0" collapsed="false">
      <c r="A34" s="167"/>
      <c r="B34" s="142"/>
      <c r="C34" s="157"/>
      <c r="D34" s="150"/>
      <c r="E34" s="158"/>
      <c r="F34" s="159"/>
      <c r="G34" s="103"/>
      <c r="H34" s="103"/>
    </row>
    <row r="35" customFormat="false" ht="14.7" hidden="false" customHeight="true" outlineLevel="0" collapsed="false">
      <c r="A35" s="144" t="n">
        <v>4</v>
      </c>
      <c r="B35" s="145" t="s">
        <v>177</v>
      </c>
      <c r="C35" s="146"/>
      <c r="D35" s="147" t="s">
        <v>171</v>
      </c>
      <c r="E35" s="148" t="n">
        <f aca="false">'D - ARTIG INDUST CAT SPECIALE'!C15</f>
        <v>27.4124928</v>
      </c>
      <c r="F35" s="149" t="n">
        <f aca="false">C35*E35</f>
        <v>0</v>
      </c>
      <c r="G35" s="103"/>
      <c r="H35" s="103"/>
    </row>
    <row r="36" customFormat="false" ht="13.8" hidden="false" customHeight="true" outlineLevel="0" collapsed="false">
      <c r="A36" s="144"/>
      <c r="B36" s="145"/>
      <c r="C36" s="146"/>
      <c r="D36" s="150" t="s">
        <v>172</v>
      </c>
      <c r="E36" s="160" t="n">
        <f aca="false">'D - ARTIG INDUST CAT SPECIALE'!C16</f>
        <v>23.201376</v>
      </c>
      <c r="F36" s="149" t="n">
        <f aca="false">C35*E36</f>
        <v>0</v>
      </c>
      <c r="G36" s="103"/>
      <c r="H36" s="103"/>
    </row>
    <row r="37" customFormat="false" ht="6" hidden="false" customHeight="true" outlineLevel="0" collapsed="false">
      <c r="A37" s="167"/>
      <c r="B37" s="142"/>
      <c r="C37" s="153"/>
      <c r="D37" s="150"/>
      <c r="E37" s="154"/>
      <c r="F37" s="155"/>
      <c r="G37" s="103"/>
      <c r="H37" s="103"/>
    </row>
    <row r="38" customFormat="false" ht="13.8" hidden="false" customHeight="true" outlineLevel="0" collapsed="false">
      <c r="A38" s="167"/>
      <c r="B38" s="142"/>
      <c r="C38" s="157"/>
      <c r="D38" s="150" t="s">
        <v>7</v>
      </c>
      <c r="E38" s="158"/>
      <c r="F38" s="149" t="n">
        <f aca="false">F35+F36</f>
        <v>0</v>
      </c>
      <c r="G38" s="103"/>
      <c r="H38" s="103"/>
    </row>
    <row r="39" customFormat="false" ht="13.8" hidden="false" customHeight="true" outlineLevel="0" collapsed="false">
      <c r="A39" s="167"/>
      <c r="B39" s="142"/>
      <c r="C39" s="157"/>
      <c r="D39" s="150"/>
      <c r="E39" s="158"/>
      <c r="F39" s="159"/>
      <c r="G39" s="103"/>
      <c r="H39" s="103"/>
    </row>
    <row r="40" customFormat="false" ht="14.7" hidden="false" customHeight="true" outlineLevel="0" collapsed="false">
      <c r="A40" s="144" t="n">
        <v>5</v>
      </c>
      <c r="B40" s="145" t="s">
        <v>196</v>
      </c>
      <c r="C40" s="146"/>
      <c r="D40" s="147" t="s">
        <v>171</v>
      </c>
      <c r="E40" s="148" t="n">
        <f aca="false">'D - ARTIG INDUST CAT SPECIALE'!C18</f>
        <v>8.0991456</v>
      </c>
      <c r="F40" s="149" t="n">
        <f aca="false">C40*E40</f>
        <v>0</v>
      </c>
      <c r="G40" s="103"/>
      <c r="H40" s="103"/>
    </row>
    <row r="41" customFormat="false" ht="13.8" hidden="false" customHeight="true" outlineLevel="0" collapsed="false">
      <c r="A41" s="144"/>
      <c r="B41" s="145"/>
      <c r="C41" s="146"/>
      <c r="D41" s="150" t="s">
        <v>172</v>
      </c>
      <c r="E41" s="160" t="n">
        <f aca="false">'D - ARTIG INDUST CAT SPECIALE'!C19</f>
        <v>6.854952</v>
      </c>
      <c r="F41" s="149" t="n">
        <f aca="false">C40*E41</f>
        <v>0</v>
      </c>
      <c r="G41" s="103"/>
      <c r="H41" s="103"/>
    </row>
    <row r="42" customFormat="false" ht="6" hidden="false" customHeight="true" outlineLevel="0" collapsed="false">
      <c r="A42" s="167"/>
      <c r="B42" s="142"/>
      <c r="C42" s="153"/>
      <c r="D42" s="150"/>
      <c r="E42" s="154"/>
      <c r="F42" s="155"/>
      <c r="G42" s="103"/>
      <c r="H42" s="103"/>
    </row>
    <row r="43" customFormat="false" ht="13.8" hidden="false" customHeight="true" outlineLevel="0" collapsed="false">
      <c r="A43" s="167"/>
      <c r="B43" s="142"/>
      <c r="C43" s="157"/>
      <c r="D43" s="150" t="s">
        <v>7</v>
      </c>
      <c r="E43" s="158"/>
      <c r="F43" s="149" t="n">
        <f aca="false">F40+F41</f>
        <v>0</v>
      </c>
      <c r="G43" s="103"/>
      <c r="H43" s="103"/>
    </row>
    <row r="44" customFormat="false" ht="13.8" hidden="false" customHeight="true" outlineLevel="0" collapsed="false">
      <c r="A44" s="167"/>
      <c r="B44" s="142"/>
      <c r="C44" s="157"/>
      <c r="D44" s="150"/>
      <c r="E44" s="158"/>
      <c r="F44" s="159"/>
      <c r="G44" s="103"/>
      <c r="H44" s="103"/>
    </row>
    <row r="45" customFormat="false" ht="13.8" hidden="false" customHeight="true" outlineLevel="0" collapsed="false">
      <c r="A45" s="144"/>
      <c r="B45" s="180" t="s">
        <v>179</v>
      </c>
      <c r="C45" s="181"/>
      <c r="D45" s="182"/>
      <c r="E45" s="183"/>
      <c r="F45" s="184"/>
      <c r="G45" s="103"/>
      <c r="H45" s="103"/>
    </row>
    <row r="46" customFormat="false" ht="14.7" hidden="false" customHeight="true" outlineLevel="0" collapsed="false">
      <c r="A46" s="144" t="s">
        <v>178</v>
      </c>
      <c r="B46" s="185" t="s">
        <v>180</v>
      </c>
      <c r="C46" s="146"/>
      <c r="D46" s="147" t="s">
        <v>171</v>
      </c>
      <c r="E46" s="186" t="n">
        <f aca="false">'D - ARTIG INDUST CAT SPECIALE'!C24</f>
        <v>32.3965824</v>
      </c>
      <c r="F46" s="168" t="n">
        <f aca="false">C46*E46</f>
        <v>0</v>
      </c>
      <c r="G46" s="103"/>
      <c r="H46" s="103"/>
    </row>
    <row r="47" customFormat="false" ht="13.8" hidden="false" customHeight="true" outlineLevel="0" collapsed="false">
      <c r="A47" s="144"/>
      <c r="B47" s="185"/>
      <c r="C47" s="146"/>
      <c r="D47" s="150" t="s">
        <v>172</v>
      </c>
      <c r="E47" s="187" t="n">
        <f aca="false">'D - ARTIG INDUST CAT SPECIALE'!C25</f>
        <v>27.419808</v>
      </c>
      <c r="F47" s="168" t="n">
        <f aca="false">C46*E47</f>
        <v>0</v>
      </c>
      <c r="G47" s="103"/>
      <c r="H47" s="103"/>
    </row>
    <row r="48" s="1" customFormat="true" ht="6" hidden="false" customHeight="true" outlineLevel="0" collapsed="false">
      <c r="A48" s="188"/>
      <c r="B48" s="252"/>
      <c r="C48" s="157"/>
      <c r="D48" s="150"/>
      <c r="E48" s="102"/>
      <c r="F48" s="170"/>
      <c r="G48" s="103"/>
      <c r="H48" s="103"/>
    </row>
    <row r="49" customFormat="false" ht="14.7" hidden="false" customHeight="true" outlineLevel="0" collapsed="false">
      <c r="A49" s="188"/>
      <c r="B49" s="253"/>
      <c r="C49" s="157"/>
      <c r="D49" s="150" t="s">
        <v>7</v>
      </c>
      <c r="E49" s="102"/>
      <c r="F49" s="168" t="n">
        <f aca="false">F46+F47</f>
        <v>0</v>
      </c>
      <c r="G49" s="103"/>
      <c r="H49" s="103"/>
    </row>
    <row r="50" customFormat="false" ht="14.7" hidden="false" customHeight="true" outlineLevel="0" collapsed="false">
      <c r="A50" s="188"/>
      <c r="B50" s="253"/>
      <c r="C50" s="157"/>
      <c r="D50" s="150"/>
      <c r="E50" s="102"/>
      <c r="F50" s="254"/>
      <c r="G50" s="103"/>
      <c r="H50" s="103"/>
    </row>
    <row r="51" customFormat="false" ht="14.7" hidden="false" customHeight="true" outlineLevel="0" collapsed="false">
      <c r="A51" s="144" t="s">
        <v>181</v>
      </c>
      <c r="B51" s="185" t="s">
        <v>182</v>
      </c>
      <c r="C51" s="146"/>
      <c r="D51" s="147" t="s">
        <v>171</v>
      </c>
      <c r="E51" s="186" t="n">
        <f aca="false">'D - ARTIG INDUST CAT SPECIALE'!C27</f>
        <v>26.997152</v>
      </c>
      <c r="F51" s="168" t="n">
        <f aca="false">C51*E51</f>
        <v>0</v>
      </c>
      <c r="G51" s="103"/>
      <c r="H51" s="103"/>
    </row>
    <row r="52" customFormat="false" ht="13.8" hidden="false" customHeight="true" outlineLevel="0" collapsed="false">
      <c r="A52" s="144"/>
      <c r="B52" s="185"/>
      <c r="C52" s="146"/>
      <c r="D52" s="150" t="s">
        <v>172</v>
      </c>
      <c r="E52" s="187" t="n">
        <f aca="false">'D - ARTIG INDUST CAT SPECIALE'!C28</f>
        <v>22.84984</v>
      </c>
      <c r="F52" s="168" t="n">
        <f aca="false">C51*E52</f>
        <v>0</v>
      </c>
      <c r="G52" s="103"/>
      <c r="H52" s="103"/>
    </row>
    <row r="53" customFormat="false" ht="6" hidden="false" customHeight="true" outlineLevel="0" collapsed="false">
      <c r="A53" s="188"/>
      <c r="B53" s="253"/>
      <c r="C53" s="157"/>
      <c r="D53" s="150"/>
      <c r="E53" s="102"/>
      <c r="F53" s="170"/>
      <c r="G53" s="103"/>
      <c r="H53" s="103"/>
    </row>
    <row r="54" customFormat="false" ht="14.7" hidden="false" customHeight="true" outlineLevel="0" collapsed="false">
      <c r="A54" s="188"/>
      <c r="B54" s="253"/>
      <c r="C54" s="157"/>
      <c r="D54" s="150" t="s">
        <v>7</v>
      </c>
      <c r="E54" s="102"/>
      <c r="F54" s="168" t="n">
        <f aca="false">F51+F52</f>
        <v>0</v>
      </c>
      <c r="G54" s="103"/>
      <c r="H54" s="103"/>
    </row>
    <row r="55" customFormat="false" ht="14.7" hidden="false" customHeight="true" outlineLevel="0" collapsed="false">
      <c r="A55" s="188"/>
      <c r="B55" s="253"/>
      <c r="C55" s="157"/>
      <c r="D55" s="150"/>
      <c r="E55" s="102"/>
      <c r="F55" s="254"/>
      <c r="G55" s="103"/>
      <c r="H55" s="103"/>
    </row>
    <row r="56" customFormat="false" ht="14.7" hidden="false" customHeight="true" outlineLevel="0" collapsed="false">
      <c r="A56" s="144" t="s">
        <v>183</v>
      </c>
      <c r="B56" s="185" t="s">
        <v>184</v>
      </c>
      <c r="C56" s="146"/>
      <c r="D56" s="147" t="s">
        <v>171</v>
      </c>
      <c r="E56" s="186" t="n">
        <f aca="false">'D - ARTIG INDUST CAT SPECIALE'!C30</f>
        <v>26.1664704</v>
      </c>
      <c r="F56" s="168" t="n">
        <f aca="false">C56*E56</f>
        <v>0</v>
      </c>
      <c r="G56" s="103"/>
      <c r="H56" s="103"/>
    </row>
    <row r="57" customFormat="false" ht="14.7" hidden="false" customHeight="true" outlineLevel="0" collapsed="false">
      <c r="A57" s="144"/>
      <c r="B57" s="185"/>
      <c r="C57" s="146"/>
      <c r="D57" s="150" t="s">
        <v>172</v>
      </c>
      <c r="E57" s="189" t="n">
        <f aca="false">'D - ARTIG INDUST CAT SPECIALE'!C31</f>
        <v>22.146768</v>
      </c>
      <c r="F57" s="168" t="n">
        <f aca="false">C56*E57</f>
        <v>0</v>
      </c>
      <c r="G57" s="103"/>
      <c r="H57" s="103"/>
    </row>
    <row r="58" customFormat="false" ht="6" hidden="false" customHeight="true" outlineLevel="0" collapsed="false">
      <c r="A58" s="167"/>
      <c r="B58" s="171"/>
      <c r="C58" s="157"/>
      <c r="D58" s="150"/>
      <c r="E58" s="154"/>
      <c r="F58" s="170"/>
      <c r="G58" s="103"/>
      <c r="H58" s="103"/>
    </row>
    <row r="59" customFormat="false" ht="13.8" hidden="false" customHeight="true" outlineLevel="0" collapsed="false">
      <c r="A59" s="167"/>
      <c r="B59" s="174"/>
      <c r="C59" s="190"/>
      <c r="D59" s="176" t="s">
        <v>7</v>
      </c>
      <c r="E59" s="191"/>
      <c r="F59" s="177" t="n">
        <f aca="false">F56+F57</f>
        <v>0</v>
      </c>
      <c r="G59" s="103"/>
      <c r="H59" s="103"/>
    </row>
    <row r="60" customFormat="false" ht="10.5" hidden="false" customHeight="true" outlineLevel="0" collapsed="false">
      <c r="A60" s="167"/>
      <c r="B60" s="142"/>
      <c r="C60" s="153"/>
      <c r="D60" s="150"/>
      <c r="E60" s="154"/>
      <c r="F60" s="155"/>
      <c r="G60" s="103"/>
      <c r="H60" s="103"/>
    </row>
    <row r="61" customFormat="false" ht="13.8" hidden="false" customHeight="true" outlineLevel="0" collapsed="false">
      <c r="A61" s="167"/>
      <c r="B61" s="142"/>
      <c r="C61" s="239" t="s">
        <v>185</v>
      </c>
      <c r="D61" s="150" t="s">
        <v>171</v>
      </c>
      <c r="E61" s="158"/>
      <c r="F61" s="255" t="n">
        <f aca="false">F10+F15+F20+F25+F30+F35+F40+F46+F51+F56</f>
        <v>0</v>
      </c>
      <c r="G61" s="103"/>
      <c r="H61" s="103"/>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row>
    <row r="62" customFormat="false" ht="13.8" hidden="false" customHeight="true" outlineLevel="0" collapsed="false">
      <c r="A62" s="241"/>
      <c r="B62" s="197"/>
      <c r="C62" s="239"/>
      <c r="D62" s="198" t="s">
        <v>172</v>
      </c>
      <c r="E62" s="194"/>
      <c r="F62" s="255" t="n">
        <f aca="false">F11+F16+F21+F26+F31+F36+F41+F47+F52+F57</f>
        <v>0</v>
      </c>
      <c r="G62" s="103"/>
      <c r="H62" s="103"/>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row>
    <row r="63" customFormat="false" ht="13.8" hidden="false" customHeight="true" outlineLevel="0" collapsed="false">
      <c r="A63" s="200" t="s">
        <v>197</v>
      </c>
      <c r="C63" s="243"/>
      <c r="D63" s="244"/>
      <c r="E63" s="245"/>
      <c r="F63" s="246"/>
      <c r="G63" s="201"/>
      <c r="H63" s="247"/>
    </row>
  </sheetData>
  <sheetProtection sheet="true" objects="true" scenarios="true"/>
  <mergeCells count="35">
    <mergeCell ref="A1:H1"/>
    <mergeCell ref="A2:H2"/>
    <mergeCell ref="A4:H4"/>
    <mergeCell ref="B6:C6"/>
    <mergeCell ref="E6:F6"/>
    <mergeCell ref="G6:H6"/>
    <mergeCell ref="A8:B8"/>
    <mergeCell ref="A10:A11"/>
    <mergeCell ref="B10:B11"/>
    <mergeCell ref="C10:C11"/>
    <mergeCell ref="C15:C16"/>
    <mergeCell ref="A20:A21"/>
    <mergeCell ref="B20:B21"/>
    <mergeCell ref="C20:C21"/>
    <mergeCell ref="A25:A26"/>
    <mergeCell ref="C25:C26"/>
    <mergeCell ref="A30:A31"/>
    <mergeCell ref="B30:B31"/>
    <mergeCell ref="C30:C31"/>
    <mergeCell ref="A35:A36"/>
    <mergeCell ref="B35:B36"/>
    <mergeCell ref="C35:C36"/>
    <mergeCell ref="A40:A41"/>
    <mergeCell ref="B40:B41"/>
    <mergeCell ref="C40:C41"/>
    <mergeCell ref="A46:A47"/>
    <mergeCell ref="B46:B47"/>
    <mergeCell ref="C46:C47"/>
    <mergeCell ref="A51:A52"/>
    <mergeCell ref="B51:B52"/>
    <mergeCell ref="C51:C52"/>
    <mergeCell ref="A56:A57"/>
    <mergeCell ref="B56:B57"/>
    <mergeCell ref="C56:C57"/>
    <mergeCell ref="C61:C62"/>
  </mergeCells>
  <printOptions headings="false" gridLines="false" gridLinesSet="true" horizontalCentered="true" verticalCentered="true"/>
  <pageMargins left="0.747916666666667" right="0.747916666666667" top="0.984027777777778" bottom="0.984027777777778"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W63"/>
  <sheetViews>
    <sheetView showFormulas="false" showGridLines="false" showRowColHeaders="true" showZeros="true" rightToLeft="false" tabSelected="false" showOutlineSymbols="true" defaultGridColor="true" view="normal" topLeftCell="A40" colorId="64" zoomScale="150" zoomScaleNormal="150" zoomScalePageLayoutView="100" workbookViewId="0">
      <selection pane="topLeft" activeCell="C47" activeCellId="0" sqref="C47"/>
    </sheetView>
  </sheetViews>
  <sheetFormatPr defaultColWidth="8.5078125" defaultRowHeight="13.8" zeroHeight="false" outlineLevelRow="0" outlineLevelCol="0"/>
  <cols>
    <col collapsed="false" customWidth="true" hidden="false" outlineLevel="0" max="1" min="1" style="200" width="4.73"/>
    <col collapsed="false" customWidth="true" hidden="false" outlineLevel="0" max="2" min="2" style="103" width="45.62"/>
    <col collapsed="false" customWidth="true" hidden="false" outlineLevel="0" max="3" min="3" style="201" width="9.48"/>
    <col collapsed="false" customWidth="true" hidden="false" outlineLevel="0" max="4" min="4" style="103" width="10.29"/>
    <col collapsed="false" customWidth="true" hidden="false" outlineLevel="0" max="5" min="5" style="202" width="7.29"/>
    <col collapsed="false" customWidth="true" hidden="false" outlineLevel="0" max="6" min="6" style="202" width="9.29"/>
    <col collapsed="false" customWidth="true" hidden="false" outlineLevel="0" max="7" min="7" style="202" width="6.29"/>
    <col collapsed="false" customWidth="true" hidden="false" outlineLevel="0" max="8" min="8" style="203" width="9.29"/>
    <col collapsed="false" customWidth="false" hidden="false" outlineLevel="0" max="29" min="9" style="88" width="8.49"/>
    <col collapsed="false" customWidth="false" hidden="false" outlineLevel="0" max="240" min="30" style="1" width="8.49"/>
  </cols>
  <sheetData>
    <row r="1" s="70" customFormat="true" ht="13.2" hidden="false" customHeight="true" outlineLevel="0" collapsed="false">
      <c r="A1" s="104" t="s">
        <v>200</v>
      </c>
      <c r="B1" s="104"/>
      <c r="C1" s="104"/>
      <c r="D1" s="104"/>
      <c r="E1" s="104"/>
      <c r="F1" s="104"/>
      <c r="G1" s="104"/>
      <c r="H1" s="104"/>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6"/>
      <c r="AU1" s="256"/>
      <c r="AV1" s="256"/>
      <c r="AW1" s="256"/>
      <c r="AX1" s="256"/>
      <c r="AY1" s="256"/>
      <c r="AZ1" s="256"/>
      <c r="BA1" s="256"/>
      <c r="BB1" s="256"/>
      <c r="BC1" s="256"/>
      <c r="BD1" s="256"/>
      <c r="BE1" s="256"/>
      <c r="BF1" s="256"/>
      <c r="BG1" s="256"/>
      <c r="BH1" s="256"/>
      <c r="BI1" s="256"/>
      <c r="BJ1" s="256"/>
      <c r="BK1" s="256"/>
      <c r="BL1" s="256"/>
      <c r="BM1" s="256"/>
      <c r="BN1" s="256"/>
      <c r="BO1" s="256"/>
      <c r="BP1" s="256"/>
      <c r="BQ1" s="256"/>
      <c r="BR1" s="256"/>
      <c r="BS1" s="256"/>
      <c r="BT1" s="256"/>
      <c r="BU1" s="256"/>
      <c r="BV1" s="256"/>
      <c r="BW1" s="256"/>
      <c r="BX1" s="256"/>
      <c r="BY1" s="256"/>
      <c r="BZ1" s="256"/>
      <c r="CA1" s="256"/>
      <c r="CB1" s="256"/>
      <c r="CC1" s="256"/>
      <c r="CD1" s="256"/>
      <c r="CE1" s="256"/>
      <c r="CF1" s="256"/>
      <c r="CG1" s="256"/>
      <c r="CH1" s="256"/>
      <c r="CI1" s="256"/>
      <c r="CJ1" s="256"/>
      <c r="CK1" s="256"/>
      <c r="CL1" s="256"/>
      <c r="CM1" s="256"/>
      <c r="CN1" s="256"/>
      <c r="CO1" s="256"/>
      <c r="CP1" s="256"/>
      <c r="CQ1" s="256"/>
      <c r="CR1" s="256"/>
      <c r="CS1" s="256"/>
      <c r="CT1" s="256"/>
      <c r="CU1" s="256"/>
      <c r="CV1" s="256"/>
      <c r="CW1" s="256"/>
    </row>
    <row r="2" s="80" customFormat="true" ht="17.25" hidden="false" customHeight="true" outlineLevel="0" collapsed="false">
      <c r="A2" s="204" t="s">
        <v>160</v>
      </c>
      <c r="B2" s="204"/>
      <c r="C2" s="204"/>
      <c r="D2" s="204"/>
      <c r="E2" s="204"/>
      <c r="F2" s="204"/>
      <c r="G2" s="204"/>
      <c r="H2" s="204"/>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AT2" s="257"/>
      <c r="AU2" s="257"/>
      <c r="AV2" s="257"/>
      <c r="AW2" s="257"/>
      <c r="AX2" s="257"/>
      <c r="AY2" s="257"/>
      <c r="AZ2" s="257"/>
      <c r="BA2" s="257"/>
      <c r="BB2" s="257"/>
      <c r="BC2" s="257"/>
      <c r="BD2" s="257"/>
      <c r="BE2" s="257"/>
      <c r="BF2" s="257"/>
      <c r="BG2" s="257"/>
      <c r="BH2" s="257"/>
      <c r="BI2" s="257"/>
      <c r="BJ2" s="257"/>
      <c r="BK2" s="257"/>
      <c r="BL2" s="257"/>
      <c r="BM2" s="257"/>
      <c r="BN2" s="257"/>
      <c r="BO2" s="257"/>
      <c r="BP2" s="257"/>
      <c r="BQ2" s="257"/>
      <c r="BR2" s="257"/>
      <c r="BS2" s="257"/>
      <c r="BT2" s="257"/>
      <c r="BU2" s="257"/>
      <c r="BV2" s="257"/>
      <c r="BW2" s="257"/>
      <c r="BX2" s="257"/>
      <c r="BY2" s="257"/>
      <c r="BZ2" s="257"/>
      <c r="CA2" s="257"/>
      <c r="CB2" s="257"/>
      <c r="CC2" s="257"/>
      <c r="CD2" s="257"/>
      <c r="CE2" s="257"/>
      <c r="CF2" s="257"/>
      <c r="CG2" s="257"/>
      <c r="CH2" s="257"/>
      <c r="CI2" s="257"/>
      <c r="CJ2" s="257"/>
      <c r="CK2" s="257"/>
      <c r="CL2" s="257"/>
      <c r="CM2" s="257"/>
      <c r="CN2" s="257"/>
      <c r="CO2" s="257"/>
      <c r="CP2" s="257"/>
      <c r="CQ2" s="257"/>
      <c r="CR2" s="257"/>
      <c r="CS2" s="257"/>
      <c r="CT2" s="257"/>
      <c r="CU2" s="257"/>
      <c r="CV2" s="257"/>
      <c r="CW2" s="257"/>
    </row>
    <row r="3" customFormat="false" ht="6" hidden="false" customHeight="true" outlineLevel="0" collapsed="false">
      <c r="A3" s="258"/>
      <c r="B3" s="258"/>
      <c r="C3" s="258"/>
      <c r="D3" s="258"/>
      <c r="E3" s="258"/>
      <c r="F3" s="258"/>
      <c r="G3" s="258"/>
      <c r="H3" s="259"/>
    </row>
    <row r="4" s="112" customFormat="true" ht="16.95" hidden="false" customHeight="true" outlineLevel="0" collapsed="false">
      <c r="A4" s="206" t="s">
        <v>201</v>
      </c>
      <c r="B4" s="206"/>
      <c r="C4" s="206"/>
      <c r="D4" s="206"/>
      <c r="E4" s="206"/>
      <c r="F4" s="206"/>
      <c r="G4" s="206"/>
      <c r="H4" s="206"/>
      <c r="I4" s="111"/>
      <c r="J4" s="111"/>
      <c r="K4" s="111"/>
      <c r="L4" s="111"/>
      <c r="M4" s="111"/>
      <c r="N4" s="111"/>
      <c r="O4" s="111"/>
      <c r="P4" s="111"/>
      <c r="Q4" s="111"/>
      <c r="R4" s="111"/>
      <c r="S4" s="111"/>
      <c r="T4" s="111"/>
      <c r="U4" s="111"/>
      <c r="V4" s="111"/>
      <c r="W4" s="111"/>
      <c r="X4" s="111"/>
      <c r="Y4" s="111"/>
      <c r="Z4" s="111"/>
      <c r="AA4" s="111"/>
      <c r="AB4" s="111"/>
      <c r="AC4" s="111"/>
    </row>
    <row r="5" s="112" customFormat="true" ht="16.95" hidden="false" customHeight="true" outlineLevel="0" collapsed="false">
      <c r="A5" s="114"/>
      <c r="B5" s="114"/>
      <c r="C5" s="114"/>
      <c r="D5" s="114"/>
      <c r="E5" s="114"/>
      <c r="F5" s="114"/>
      <c r="G5" s="114"/>
      <c r="H5" s="26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c r="CK5" s="111"/>
      <c r="CL5" s="111"/>
      <c r="CM5" s="111"/>
      <c r="CN5" s="111"/>
      <c r="CO5" s="111"/>
      <c r="CP5" s="111"/>
      <c r="CQ5" s="111"/>
      <c r="CR5" s="111"/>
      <c r="CS5" s="111"/>
      <c r="CT5" s="111"/>
      <c r="CU5" s="111"/>
      <c r="CV5" s="111"/>
      <c r="CW5" s="111"/>
    </row>
    <row r="6" s="112" customFormat="true" ht="18" hidden="false" customHeight="true" outlineLevel="0" collapsed="false">
      <c r="A6" s="208" t="s">
        <v>161</v>
      </c>
      <c r="B6" s="248"/>
      <c r="C6" s="248"/>
      <c r="D6" s="261"/>
      <c r="E6" s="262" t="s">
        <v>162</v>
      </c>
      <c r="F6" s="262"/>
      <c r="G6" s="249"/>
      <c r="H6" s="249"/>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c r="CK6" s="111"/>
      <c r="CL6" s="111"/>
      <c r="CM6" s="111"/>
      <c r="CN6" s="111"/>
      <c r="CO6" s="111"/>
      <c r="CP6" s="111"/>
      <c r="CQ6" s="111"/>
      <c r="CR6" s="111"/>
      <c r="CS6" s="111"/>
      <c r="CT6" s="111"/>
      <c r="CU6" s="111"/>
      <c r="CV6" s="111"/>
      <c r="CW6" s="111"/>
    </row>
    <row r="7" customFormat="false" ht="6" hidden="false" customHeight="true" outlineLevel="0" collapsed="false">
      <c r="A7" s="205"/>
      <c r="B7" s="101"/>
      <c r="C7" s="87"/>
      <c r="D7" s="102"/>
      <c r="E7" s="102"/>
      <c r="F7" s="102"/>
      <c r="G7" s="102"/>
    </row>
    <row r="8" s="129" customFormat="true" ht="26.25" hidden="false" customHeight="true" outlineLevel="0" collapsed="false">
      <c r="A8" s="263" t="s">
        <v>163</v>
      </c>
      <c r="B8" s="263"/>
      <c r="C8" s="264" t="s">
        <v>164</v>
      </c>
      <c r="D8" s="126"/>
      <c r="E8" s="265" t="s">
        <v>165</v>
      </c>
      <c r="F8" s="266" t="s">
        <v>166</v>
      </c>
      <c r="G8" s="139"/>
      <c r="H8" s="139"/>
      <c r="I8" s="131"/>
      <c r="J8" s="131"/>
      <c r="K8" s="131"/>
      <c r="L8" s="131"/>
      <c r="M8" s="131"/>
      <c r="N8" s="131"/>
      <c r="O8" s="131"/>
      <c r="P8" s="131"/>
      <c r="Q8" s="131"/>
      <c r="R8" s="131"/>
      <c r="S8" s="131"/>
      <c r="T8" s="131"/>
      <c r="U8" s="131"/>
      <c r="V8" s="131"/>
      <c r="W8" s="131"/>
      <c r="X8" s="131"/>
      <c r="Y8" s="131"/>
      <c r="Z8" s="131"/>
      <c r="AA8" s="131"/>
      <c r="AB8" s="131"/>
      <c r="AC8" s="131"/>
    </row>
    <row r="9" s="138" customFormat="true" ht="9.9" hidden="false" customHeight="true" outlineLevel="0" collapsed="false">
      <c r="A9" s="267"/>
      <c r="B9" s="268"/>
      <c r="C9" s="134" t="s">
        <v>167</v>
      </c>
      <c r="D9" s="135"/>
      <c r="E9" s="136" t="s">
        <v>168</v>
      </c>
      <c r="F9" s="269" t="s">
        <v>169</v>
      </c>
      <c r="G9" s="139"/>
      <c r="H9" s="139"/>
      <c r="I9" s="140"/>
      <c r="J9" s="140"/>
      <c r="K9" s="140"/>
      <c r="L9" s="140"/>
      <c r="M9" s="140"/>
      <c r="N9" s="140"/>
      <c r="O9" s="140"/>
      <c r="P9" s="140"/>
      <c r="Q9" s="140"/>
      <c r="R9" s="140"/>
      <c r="S9" s="140"/>
      <c r="T9" s="140"/>
      <c r="U9" s="140"/>
      <c r="V9" s="140"/>
      <c r="W9" s="140"/>
      <c r="X9" s="140"/>
      <c r="Y9" s="140"/>
      <c r="Z9" s="140"/>
      <c r="AA9" s="140"/>
      <c r="AB9" s="140"/>
      <c r="AC9" s="140"/>
    </row>
    <row r="10" customFormat="false" ht="13.2" hidden="false" customHeight="true" outlineLevel="0" collapsed="false">
      <c r="A10" s="141"/>
      <c r="B10" s="142"/>
      <c r="C10" s="143"/>
      <c r="D10" s="142"/>
      <c r="E10" s="143"/>
      <c r="F10" s="143"/>
      <c r="G10" s="139"/>
      <c r="H10" s="139"/>
    </row>
    <row r="11" s="1" customFormat="true" ht="14.7" hidden="false" customHeight="true" outlineLevel="0" collapsed="false">
      <c r="A11" s="188" t="s">
        <v>190</v>
      </c>
      <c r="B11" s="145" t="s">
        <v>191</v>
      </c>
      <c r="C11" s="146"/>
      <c r="D11" s="147" t="s">
        <v>171</v>
      </c>
      <c r="E11" s="148" t="n">
        <f aca="false">'E - COMMER DIREZ E SERVIZ'!C7</f>
        <v>5.754624</v>
      </c>
      <c r="F11" s="149" t="n">
        <f aca="false">C11*E11</f>
        <v>0</v>
      </c>
      <c r="G11" s="103"/>
      <c r="H11" s="103"/>
    </row>
    <row r="12" s="1" customFormat="true" ht="13.8" hidden="false" customHeight="true" outlineLevel="0" collapsed="false">
      <c r="A12" s="167"/>
      <c r="B12" s="145"/>
      <c r="C12" s="146"/>
      <c r="D12" s="150" t="s">
        <v>172</v>
      </c>
      <c r="E12" s="160" t="n">
        <f aca="false">'E - COMMER DIREZ E SERVIZ'!C8</f>
        <v>2.871216</v>
      </c>
      <c r="F12" s="149" t="n">
        <f aca="false">C11*E12</f>
        <v>0</v>
      </c>
      <c r="G12" s="103"/>
      <c r="H12" s="103"/>
    </row>
    <row r="13" s="1" customFormat="true" ht="6" hidden="false" customHeight="true" outlineLevel="0" collapsed="false">
      <c r="A13" s="167"/>
      <c r="B13" s="142"/>
      <c r="C13" s="153"/>
      <c r="D13" s="150"/>
      <c r="E13" s="154"/>
      <c r="F13" s="155"/>
      <c r="G13" s="103"/>
      <c r="H13" s="103"/>
    </row>
    <row r="14" s="1" customFormat="true" ht="13.8" hidden="false" customHeight="true" outlineLevel="0" collapsed="false">
      <c r="A14" s="167"/>
      <c r="B14" s="156"/>
      <c r="C14" s="157"/>
      <c r="D14" s="150" t="s">
        <v>7</v>
      </c>
      <c r="E14" s="158"/>
      <c r="F14" s="149" t="n">
        <f aca="false">F11+F12</f>
        <v>0</v>
      </c>
      <c r="G14" s="103"/>
      <c r="H14" s="103"/>
    </row>
    <row r="15" s="1" customFormat="true" ht="13.8" hidden="false" customHeight="true" outlineLevel="0" collapsed="false">
      <c r="A15" s="167"/>
      <c r="B15" s="156"/>
      <c r="C15" s="157"/>
      <c r="D15" s="150"/>
      <c r="E15" s="154"/>
      <c r="F15" s="251"/>
      <c r="G15" s="103"/>
      <c r="H15" s="103"/>
    </row>
    <row r="16" s="1" customFormat="true" ht="27" hidden="false" customHeight="true" outlineLevel="0" collapsed="false">
      <c r="A16" s="188" t="s">
        <v>192</v>
      </c>
      <c r="B16" s="231" t="s">
        <v>191</v>
      </c>
      <c r="C16" s="146"/>
      <c r="D16" s="147" t="s">
        <v>171</v>
      </c>
      <c r="E16" s="148" t="n">
        <f aca="false">'E - COMMER DIREZ E SERVIZ'!D7</f>
        <v>8.631936</v>
      </c>
      <c r="F16" s="149" t="n">
        <f aca="false">C16*E16</f>
        <v>0</v>
      </c>
      <c r="G16" s="103"/>
      <c r="H16" s="103"/>
    </row>
    <row r="17" s="1" customFormat="true" ht="13.8" hidden="false" customHeight="true" outlineLevel="0" collapsed="false">
      <c r="A17" s="167"/>
      <c r="B17" s="230" t="s">
        <v>193</v>
      </c>
      <c r="C17" s="146"/>
      <c r="D17" s="150" t="s">
        <v>172</v>
      </c>
      <c r="E17" s="160" t="n">
        <f aca="false">'E - COMMER DIREZ E SERVIZ'!D8</f>
        <v>4.306824</v>
      </c>
      <c r="F17" s="149" t="n">
        <f aca="false">C16*E17</f>
        <v>0</v>
      </c>
      <c r="G17" s="103"/>
      <c r="H17" s="103"/>
    </row>
    <row r="18" s="1" customFormat="true" ht="6" hidden="false" customHeight="true" outlineLevel="0" collapsed="false">
      <c r="A18" s="167"/>
      <c r="B18" s="156"/>
      <c r="C18" s="157"/>
      <c r="D18" s="150"/>
      <c r="E18" s="154"/>
      <c r="F18" s="155"/>
      <c r="G18" s="103"/>
      <c r="H18" s="103"/>
    </row>
    <row r="19" s="1" customFormat="true" ht="13.8" hidden="false" customHeight="true" outlineLevel="0" collapsed="false">
      <c r="A19" s="167"/>
      <c r="B19" s="156"/>
      <c r="C19" s="157"/>
      <c r="D19" s="150" t="s">
        <v>7</v>
      </c>
      <c r="E19" s="158"/>
      <c r="F19" s="149" t="n">
        <f aca="false">F16+F17</f>
        <v>0</v>
      </c>
      <c r="G19" s="103"/>
      <c r="H19" s="103"/>
    </row>
    <row r="20" s="1" customFormat="true" ht="13.8" hidden="false" customHeight="true" outlineLevel="0" collapsed="false">
      <c r="A20" s="167"/>
      <c r="B20" s="156"/>
      <c r="C20" s="157"/>
      <c r="D20" s="150"/>
      <c r="E20" s="154"/>
      <c r="F20" s="251"/>
      <c r="G20" s="103"/>
      <c r="H20" s="103"/>
    </row>
    <row r="21" s="1" customFormat="true" ht="14.7" hidden="false" customHeight="true" outlineLevel="0" collapsed="false">
      <c r="A21" s="144" t="s">
        <v>194</v>
      </c>
      <c r="B21" s="145" t="s">
        <v>33</v>
      </c>
      <c r="C21" s="146"/>
      <c r="D21" s="147" t="s">
        <v>171</v>
      </c>
      <c r="E21" s="148" t="n">
        <f aca="false">'E - COMMER DIREZ E SERVIZ'!C11</f>
        <v>5.754624</v>
      </c>
      <c r="F21" s="149" t="n">
        <f aca="false">C21*E21</f>
        <v>0</v>
      </c>
      <c r="G21" s="103"/>
      <c r="H21" s="103"/>
    </row>
    <row r="22" s="1" customFormat="true" ht="13.8" hidden="false" customHeight="true" outlineLevel="0" collapsed="false">
      <c r="A22" s="144"/>
      <c r="B22" s="145"/>
      <c r="C22" s="146"/>
      <c r="D22" s="150" t="s">
        <v>172</v>
      </c>
      <c r="E22" s="160" t="n">
        <f aca="false">'E - COMMER DIREZ E SERVIZ'!C12</f>
        <v>2.871216</v>
      </c>
      <c r="F22" s="149" t="n">
        <f aca="false">C21*E22</f>
        <v>0</v>
      </c>
      <c r="G22" s="103"/>
      <c r="H22" s="103"/>
    </row>
    <row r="23" s="1" customFormat="true" ht="6" hidden="false" customHeight="true" outlineLevel="0" collapsed="false">
      <c r="A23" s="167"/>
      <c r="B23" s="142"/>
      <c r="C23" s="153"/>
      <c r="D23" s="150"/>
      <c r="E23" s="154"/>
      <c r="F23" s="155"/>
      <c r="G23" s="103"/>
      <c r="H23" s="103"/>
    </row>
    <row r="24" s="1" customFormat="true" ht="13.8" hidden="false" customHeight="true" outlineLevel="0" collapsed="false">
      <c r="A24" s="167"/>
      <c r="B24" s="156"/>
      <c r="C24" s="157"/>
      <c r="D24" s="150" t="s">
        <v>7</v>
      </c>
      <c r="E24" s="158"/>
      <c r="F24" s="149" t="n">
        <f aca="false">F21+F22</f>
        <v>0</v>
      </c>
      <c r="G24" s="103"/>
      <c r="H24" s="103"/>
    </row>
    <row r="25" s="1" customFormat="true" ht="13.8" hidden="false" customHeight="true" outlineLevel="0" collapsed="false">
      <c r="A25" s="167"/>
      <c r="B25" s="156"/>
      <c r="C25" s="157"/>
      <c r="D25" s="150"/>
      <c r="E25" s="154"/>
      <c r="F25" s="251"/>
      <c r="G25" s="103"/>
      <c r="H25" s="103"/>
    </row>
    <row r="26" s="1" customFormat="true" ht="13.8" hidden="false" customHeight="true" outlineLevel="0" collapsed="false">
      <c r="A26" s="144" t="s">
        <v>195</v>
      </c>
      <c r="B26" s="231" t="s">
        <v>33</v>
      </c>
      <c r="C26" s="146"/>
      <c r="D26" s="147" t="s">
        <v>171</v>
      </c>
      <c r="E26" s="148" t="n">
        <f aca="false">'E - COMMER DIREZ E SERVIZ'!D11</f>
        <v>8.631936</v>
      </c>
      <c r="F26" s="149" t="n">
        <f aca="false">C26*E26</f>
        <v>0</v>
      </c>
      <c r="G26" s="103"/>
      <c r="H26" s="103"/>
    </row>
    <row r="27" s="1" customFormat="true" ht="13.8" hidden="false" customHeight="true" outlineLevel="0" collapsed="false">
      <c r="A27" s="144"/>
      <c r="B27" s="230" t="s">
        <v>193</v>
      </c>
      <c r="C27" s="146"/>
      <c r="D27" s="150" t="s">
        <v>172</v>
      </c>
      <c r="E27" s="160" t="n">
        <f aca="false">'E - COMMER DIREZ E SERVIZ'!D12</f>
        <v>4.306824</v>
      </c>
      <c r="F27" s="149" t="n">
        <f aca="false">C26*E27</f>
        <v>0</v>
      </c>
      <c r="G27" s="103"/>
      <c r="H27" s="103"/>
    </row>
    <row r="28" s="1" customFormat="true" ht="6" hidden="false" customHeight="true" outlineLevel="0" collapsed="false">
      <c r="A28" s="167"/>
      <c r="B28" s="156"/>
      <c r="C28" s="157"/>
      <c r="D28" s="150"/>
      <c r="E28" s="154"/>
      <c r="F28" s="155"/>
      <c r="G28" s="103"/>
      <c r="H28" s="103"/>
    </row>
    <row r="29" s="1" customFormat="true" ht="13.8" hidden="false" customHeight="true" outlineLevel="0" collapsed="false">
      <c r="A29" s="167"/>
      <c r="B29" s="156"/>
      <c r="C29" s="157"/>
      <c r="D29" s="150" t="s">
        <v>7</v>
      </c>
      <c r="E29" s="158"/>
      <c r="F29" s="149" t="n">
        <f aca="false">F26+F27</f>
        <v>0</v>
      </c>
      <c r="G29" s="103"/>
      <c r="H29" s="103"/>
    </row>
    <row r="30" s="1" customFormat="true" ht="13.8" hidden="false" customHeight="true" outlineLevel="0" collapsed="false">
      <c r="A30" s="167"/>
      <c r="B30" s="156"/>
      <c r="C30" s="157"/>
      <c r="D30" s="150"/>
      <c r="E30" s="154"/>
      <c r="F30" s="251"/>
      <c r="G30" s="103"/>
      <c r="H30" s="103"/>
    </row>
    <row r="31" s="1" customFormat="true" ht="14.7" hidden="false" customHeight="true" outlineLevel="0" collapsed="false">
      <c r="A31" s="144" t="n">
        <v>3</v>
      </c>
      <c r="B31" s="145" t="s">
        <v>60</v>
      </c>
      <c r="C31" s="146"/>
      <c r="D31" s="147" t="s">
        <v>171</v>
      </c>
      <c r="E31" s="148" t="n">
        <f aca="false">'E - COMMER DIREZ E SERVIZ'!C21</f>
        <v>15.345664</v>
      </c>
      <c r="F31" s="149" t="n">
        <f aca="false">C31*E31</f>
        <v>0</v>
      </c>
      <c r="G31" s="103"/>
      <c r="H31" s="103"/>
    </row>
    <row r="32" s="1" customFormat="true" ht="13.8" hidden="false" customHeight="true" outlineLevel="0" collapsed="false">
      <c r="A32" s="144"/>
      <c r="B32" s="145"/>
      <c r="C32" s="146"/>
      <c r="D32" s="150" t="s">
        <v>172</v>
      </c>
      <c r="E32" s="160" t="n">
        <f aca="false">'E - COMMER DIREZ E SERVIZ'!C22</f>
        <v>7.656576</v>
      </c>
      <c r="F32" s="149" t="n">
        <f aca="false">C31*E32</f>
        <v>0</v>
      </c>
      <c r="G32" s="103"/>
      <c r="H32" s="103"/>
    </row>
    <row r="33" s="1" customFormat="true" ht="6" hidden="false" customHeight="true" outlineLevel="0" collapsed="false">
      <c r="A33" s="167"/>
      <c r="B33" s="142"/>
      <c r="C33" s="153"/>
      <c r="D33" s="150"/>
      <c r="E33" s="154"/>
      <c r="F33" s="155"/>
      <c r="G33" s="103"/>
      <c r="H33" s="103"/>
    </row>
    <row r="34" s="1" customFormat="true" ht="13.8" hidden="false" customHeight="true" outlineLevel="0" collapsed="false">
      <c r="A34" s="167"/>
      <c r="B34" s="142"/>
      <c r="C34" s="157"/>
      <c r="D34" s="150" t="s">
        <v>7</v>
      </c>
      <c r="E34" s="158"/>
      <c r="F34" s="149" t="n">
        <f aca="false">F31+F32</f>
        <v>0</v>
      </c>
      <c r="G34" s="103"/>
      <c r="H34" s="103"/>
    </row>
    <row r="35" s="1" customFormat="true" ht="13.8" hidden="false" customHeight="true" outlineLevel="0" collapsed="false">
      <c r="A35" s="167"/>
      <c r="B35" s="142"/>
      <c r="C35" s="157"/>
      <c r="D35" s="150"/>
      <c r="E35" s="158"/>
      <c r="F35" s="159"/>
      <c r="G35" s="103"/>
      <c r="H35" s="103"/>
    </row>
    <row r="36" s="1" customFormat="true" ht="14.7" hidden="false" customHeight="true" outlineLevel="0" collapsed="false">
      <c r="A36" s="144" t="n">
        <v>4</v>
      </c>
      <c r="B36" s="145" t="s">
        <v>177</v>
      </c>
      <c r="C36" s="146"/>
      <c r="D36" s="147" t="s">
        <v>171</v>
      </c>
      <c r="E36" s="148" t="n">
        <f aca="false">'E - COMMER DIREZ E SERVIZ'!C15</f>
        <v>25.3203456</v>
      </c>
      <c r="F36" s="149" t="n">
        <f aca="false">C36*E36</f>
        <v>0</v>
      </c>
      <c r="G36" s="103"/>
      <c r="H36" s="103"/>
    </row>
    <row r="37" s="1" customFormat="true" ht="13.8" hidden="false" customHeight="true" outlineLevel="0" collapsed="false">
      <c r="A37" s="144"/>
      <c r="B37" s="145"/>
      <c r="C37" s="146"/>
      <c r="D37" s="150" t="s">
        <v>172</v>
      </c>
      <c r="E37" s="160" t="n">
        <f aca="false">'E - COMMER DIREZ E SERVIZ'!C16</f>
        <v>12.6333504</v>
      </c>
      <c r="F37" s="149" t="n">
        <f aca="false">C36*E37</f>
        <v>0</v>
      </c>
      <c r="G37" s="103"/>
      <c r="H37" s="103"/>
    </row>
    <row r="38" s="1" customFormat="true" ht="6" hidden="false" customHeight="true" outlineLevel="0" collapsed="false">
      <c r="A38" s="167"/>
      <c r="B38" s="142"/>
      <c r="C38" s="153"/>
      <c r="D38" s="150"/>
      <c r="E38" s="154"/>
      <c r="F38" s="155"/>
      <c r="G38" s="103"/>
      <c r="H38" s="103"/>
    </row>
    <row r="39" s="1" customFormat="true" ht="13.8" hidden="false" customHeight="true" outlineLevel="0" collapsed="false">
      <c r="A39" s="167"/>
      <c r="B39" s="142"/>
      <c r="C39" s="157"/>
      <c r="D39" s="150" t="s">
        <v>7</v>
      </c>
      <c r="E39" s="158"/>
      <c r="F39" s="149" t="n">
        <f aca="false">F36+F37</f>
        <v>0</v>
      </c>
      <c r="G39" s="103"/>
      <c r="H39" s="103"/>
    </row>
    <row r="40" s="1" customFormat="true" ht="13.8" hidden="false" customHeight="true" outlineLevel="0" collapsed="false">
      <c r="A40" s="167"/>
      <c r="B40" s="142"/>
      <c r="C40" s="157"/>
      <c r="D40" s="150"/>
      <c r="E40" s="158"/>
      <c r="F40" s="158"/>
      <c r="G40" s="103"/>
      <c r="H40" s="103"/>
    </row>
    <row r="41" s="1" customFormat="true" ht="14.7" hidden="false" customHeight="true" outlineLevel="0" collapsed="false">
      <c r="A41" s="144" t="n">
        <v>5</v>
      </c>
      <c r="B41" s="145" t="s">
        <v>202</v>
      </c>
      <c r="C41" s="146"/>
      <c r="D41" s="147" t="s">
        <v>171</v>
      </c>
      <c r="E41" s="148" t="n">
        <f aca="false">'E - COMMER DIREZ E SERVIZ'!C18</f>
        <v>16.1129472</v>
      </c>
      <c r="F41" s="149" t="n">
        <f aca="false">C41*E41</f>
        <v>0</v>
      </c>
      <c r="G41" s="103"/>
      <c r="H41" s="103"/>
    </row>
    <row r="42" s="1" customFormat="true" ht="13.8" hidden="false" customHeight="true" outlineLevel="0" collapsed="false">
      <c r="A42" s="144"/>
      <c r="B42" s="145"/>
      <c r="C42" s="146"/>
      <c r="D42" s="150" t="s">
        <v>172</v>
      </c>
      <c r="E42" s="160" t="n">
        <f aca="false">'E - COMMER DIREZ E SERVIZ'!C19</f>
        <v>8.0394048</v>
      </c>
      <c r="F42" s="149" t="n">
        <f aca="false">C41*E42</f>
        <v>0</v>
      </c>
      <c r="G42" s="103"/>
      <c r="H42" s="103"/>
    </row>
    <row r="43" s="1" customFormat="true" ht="6" hidden="false" customHeight="true" outlineLevel="0" collapsed="false">
      <c r="A43" s="167"/>
      <c r="B43" s="142"/>
      <c r="C43" s="153"/>
      <c r="D43" s="150"/>
      <c r="E43" s="154"/>
      <c r="F43" s="155"/>
      <c r="G43" s="103"/>
      <c r="H43" s="103"/>
    </row>
    <row r="44" s="1" customFormat="true" ht="13.8" hidden="false" customHeight="true" outlineLevel="0" collapsed="false">
      <c r="A44" s="167"/>
      <c r="B44" s="142"/>
      <c r="C44" s="157"/>
      <c r="D44" s="150" t="s">
        <v>7</v>
      </c>
      <c r="E44" s="158"/>
      <c r="F44" s="149" t="n">
        <f aca="false">F41+F42</f>
        <v>0</v>
      </c>
      <c r="G44" s="103"/>
      <c r="H44" s="103"/>
    </row>
    <row r="45" s="1" customFormat="true" ht="13.8" hidden="false" customHeight="true" outlineLevel="0" collapsed="false">
      <c r="A45" s="167"/>
      <c r="B45" s="142"/>
      <c r="C45" s="157"/>
      <c r="D45" s="150"/>
      <c r="E45" s="158"/>
      <c r="F45" s="158"/>
      <c r="G45" s="103"/>
      <c r="H45" s="103"/>
    </row>
    <row r="46" s="1" customFormat="true" ht="13.8" hidden="false" customHeight="true" outlineLevel="0" collapsed="false">
      <c r="A46" s="144"/>
      <c r="B46" s="180" t="s">
        <v>179</v>
      </c>
      <c r="C46" s="181"/>
      <c r="D46" s="182"/>
      <c r="E46" s="183"/>
      <c r="F46" s="184"/>
      <c r="G46" s="103"/>
      <c r="H46" s="103"/>
    </row>
    <row r="47" s="1" customFormat="true" ht="14.7" hidden="false" customHeight="true" outlineLevel="0" collapsed="false">
      <c r="A47" s="144" t="s">
        <v>178</v>
      </c>
      <c r="B47" s="185" t="s">
        <v>180</v>
      </c>
      <c r="C47" s="146"/>
      <c r="D47" s="147" t="s">
        <v>171</v>
      </c>
      <c r="E47" s="186" t="n">
        <f aca="false">'E - COMMER DIREZ E SERVIZ'!C24</f>
        <v>32.2258944</v>
      </c>
      <c r="F47" s="168" t="n">
        <f aca="false">C47*E47</f>
        <v>0</v>
      </c>
      <c r="G47" s="103"/>
      <c r="H47" s="103"/>
    </row>
    <row r="48" s="1" customFormat="true" ht="14.65" hidden="false" customHeight="true" outlineLevel="0" collapsed="false">
      <c r="A48" s="144"/>
      <c r="B48" s="185"/>
      <c r="C48" s="146"/>
      <c r="D48" s="150" t="s">
        <v>172</v>
      </c>
      <c r="E48" s="187" t="n">
        <f aca="false">'E - COMMER DIREZ E SERVIZ'!C25</f>
        <v>16.0788096</v>
      </c>
      <c r="F48" s="168" t="n">
        <f aca="false">C47*E48</f>
        <v>0</v>
      </c>
      <c r="G48" s="103"/>
      <c r="H48" s="103"/>
    </row>
    <row r="49" s="1" customFormat="true" ht="6" hidden="false" customHeight="true" outlineLevel="0" collapsed="false">
      <c r="A49" s="188"/>
      <c r="B49" s="252"/>
      <c r="C49" s="157"/>
      <c r="D49" s="150"/>
      <c r="E49" s="102"/>
      <c r="F49" s="170"/>
      <c r="G49" s="103"/>
      <c r="H49" s="103"/>
    </row>
    <row r="50" s="1" customFormat="true" ht="13.8" hidden="false" customHeight="true" outlineLevel="0" collapsed="false">
      <c r="A50" s="188"/>
      <c r="B50" s="253"/>
      <c r="C50" s="157"/>
      <c r="D50" s="150" t="s">
        <v>7</v>
      </c>
      <c r="E50" s="102"/>
      <c r="F50" s="168" t="n">
        <f aca="false">F47+F48</f>
        <v>0</v>
      </c>
      <c r="G50" s="103"/>
      <c r="H50" s="103"/>
    </row>
    <row r="51" s="1" customFormat="true" ht="14.7" hidden="false" customHeight="true" outlineLevel="0" collapsed="false">
      <c r="A51" s="188"/>
      <c r="B51" s="253"/>
      <c r="C51" s="157"/>
      <c r="D51" s="150"/>
      <c r="E51" s="102"/>
      <c r="F51" s="254"/>
      <c r="G51" s="103"/>
      <c r="H51" s="103"/>
    </row>
    <row r="52" s="1" customFormat="true" ht="14.7" hidden="false" customHeight="true" outlineLevel="0" collapsed="false">
      <c r="A52" s="144" t="s">
        <v>181</v>
      </c>
      <c r="B52" s="185" t="s">
        <v>182</v>
      </c>
      <c r="C52" s="146"/>
      <c r="D52" s="147" t="s">
        <v>171</v>
      </c>
      <c r="E52" s="186" t="n">
        <f aca="false">'E - COMMER DIREZ E SERVIZ'!C27</f>
        <v>26.854912</v>
      </c>
      <c r="F52" s="168" t="n">
        <f aca="false">C52*E52</f>
        <v>0</v>
      </c>
      <c r="G52" s="103"/>
      <c r="H52" s="103"/>
    </row>
    <row r="53" s="1" customFormat="true" ht="14.65" hidden="false" customHeight="true" outlineLevel="0" collapsed="false">
      <c r="A53" s="144"/>
      <c r="B53" s="185"/>
      <c r="C53" s="146"/>
      <c r="D53" s="150" t="s">
        <v>172</v>
      </c>
      <c r="E53" s="187" t="n">
        <f aca="false">'E - COMMER DIREZ E SERVIZ'!C28</f>
        <v>13.399008</v>
      </c>
      <c r="F53" s="168" t="n">
        <f aca="false">C52*E53</f>
        <v>0</v>
      </c>
      <c r="G53" s="103"/>
      <c r="H53" s="103"/>
    </row>
    <row r="54" s="1" customFormat="true" ht="6" hidden="false" customHeight="true" outlineLevel="0" collapsed="false">
      <c r="A54" s="188"/>
      <c r="B54" s="253"/>
      <c r="C54" s="157"/>
      <c r="D54" s="150"/>
      <c r="E54" s="102"/>
      <c r="F54" s="170"/>
      <c r="G54" s="103"/>
      <c r="H54" s="103"/>
    </row>
    <row r="55" s="1" customFormat="true" ht="13.8" hidden="false" customHeight="true" outlineLevel="0" collapsed="false">
      <c r="A55" s="188"/>
      <c r="B55" s="253"/>
      <c r="C55" s="157"/>
      <c r="D55" s="150" t="s">
        <v>7</v>
      </c>
      <c r="E55" s="102"/>
      <c r="F55" s="168" t="n">
        <f aca="false">F52+F53</f>
        <v>0</v>
      </c>
      <c r="G55" s="103"/>
      <c r="H55" s="103"/>
    </row>
    <row r="56" s="1" customFormat="true" ht="14.7" hidden="false" customHeight="true" outlineLevel="0" collapsed="false">
      <c r="A56" s="188"/>
      <c r="B56" s="253"/>
      <c r="C56" s="157"/>
      <c r="D56" s="150"/>
      <c r="E56" s="102"/>
      <c r="F56" s="254"/>
      <c r="G56" s="103"/>
      <c r="H56" s="103"/>
    </row>
    <row r="57" s="1" customFormat="true" ht="14.7" hidden="false" customHeight="true" outlineLevel="0" collapsed="false">
      <c r="A57" s="144" t="s">
        <v>183</v>
      </c>
      <c r="B57" s="185" t="s">
        <v>184</v>
      </c>
      <c r="C57" s="146"/>
      <c r="D57" s="147" t="s">
        <v>171</v>
      </c>
      <c r="E57" s="186" t="n">
        <f aca="false">'E - COMMER DIREZ E SERVIZ'!C30</f>
        <v>24.1694208</v>
      </c>
      <c r="F57" s="168" t="n">
        <f aca="false">C57*E57</f>
        <v>0</v>
      </c>
      <c r="G57" s="103"/>
      <c r="H57" s="103"/>
    </row>
    <row r="58" s="1" customFormat="true" ht="14.7" hidden="false" customHeight="true" outlineLevel="0" collapsed="false">
      <c r="A58" s="144"/>
      <c r="B58" s="185"/>
      <c r="C58" s="146"/>
      <c r="D58" s="150" t="s">
        <v>172</v>
      </c>
      <c r="E58" s="189" t="n">
        <f aca="false">'E - COMMER DIREZ E SERVIZ'!C31</f>
        <v>12.0591072</v>
      </c>
      <c r="F58" s="168" t="n">
        <f aca="false">C57*E58</f>
        <v>0</v>
      </c>
      <c r="G58" s="103"/>
      <c r="H58" s="103"/>
    </row>
    <row r="59" s="1" customFormat="true" ht="6" hidden="false" customHeight="true" outlineLevel="0" collapsed="false">
      <c r="A59" s="167"/>
      <c r="B59" s="171"/>
      <c r="C59" s="157"/>
      <c r="D59" s="150"/>
      <c r="E59" s="154"/>
      <c r="F59" s="170"/>
      <c r="G59" s="103"/>
      <c r="H59" s="103"/>
    </row>
    <row r="60" s="1" customFormat="true" ht="13.8" hidden="false" customHeight="true" outlineLevel="0" collapsed="false">
      <c r="A60" s="167"/>
      <c r="B60" s="174"/>
      <c r="C60" s="190"/>
      <c r="D60" s="176" t="s">
        <v>7</v>
      </c>
      <c r="E60" s="191"/>
      <c r="F60" s="177" t="n">
        <f aca="false">F57+F58</f>
        <v>0</v>
      </c>
      <c r="G60" s="103"/>
      <c r="H60" s="103"/>
    </row>
    <row r="61" s="1" customFormat="true" ht="10.5" hidden="false" customHeight="true" outlineLevel="0" collapsed="false">
      <c r="A61" s="167"/>
      <c r="B61" s="142"/>
      <c r="C61" s="153"/>
      <c r="D61" s="150"/>
      <c r="E61" s="154"/>
      <c r="F61" s="155"/>
      <c r="G61" s="103"/>
      <c r="H61" s="103"/>
    </row>
    <row r="62" customFormat="false" ht="13.8" hidden="false" customHeight="true" outlineLevel="0" collapsed="false">
      <c r="A62" s="167"/>
      <c r="B62" s="142"/>
      <c r="C62" s="239" t="s">
        <v>185</v>
      </c>
      <c r="D62" s="150" t="s">
        <v>171</v>
      </c>
      <c r="E62" s="158"/>
      <c r="F62" s="255" t="n">
        <f aca="false">F11+F16+F21+F26+F31+F36+F41+F47+F52+F57</f>
        <v>0</v>
      </c>
      <c r="G62" s="103"/>
      <c r="H62" s="103"/>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row>
    <row r="63" customFormat="false" ht="13.8" hidden="false" customHeight="true" outlineLevel="0" collapsed="false">
      <c r="A63" s="241"/>
      <c r="B63" s="197"/>
      <c r="C63" s="239"/>
      <c r="D63" s="198" t="s">
        <v>172</v>
      </c>
      <c r="E63" s="194"/>
      <c r="F63" s="255" t="n">
        <f aca="false">F12+F17+F22+F27+F32+F37+F42+F48+F53+F58</f>
        <v>0</v>
      </c>
      <c r="G63" s="103"/>
      <c r="H63" s="103"/>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8"/>
      <c r="BR63" s="88"/>
      <c r="BS63" s="88"/>
      <c r="BT63" s="88"/>
      <c r="BU63" s="88"/>
      <c r="BV63" s="88"/>
      <c r="BW63" s="88"/>
      <c r="BX63" s="88"/>
      <c r="BY63" s="88"/>
      <c r="BZ63" s="88"/>
      <c r="CA63" s="88"/>
      <c r="CB63" s="88"/>
      <c r="CC63" s="88"/>
      <c r="CD63" s="88"/>
      <c r="CE63" s="88"/>
      <c r="CF63" s="88"/>
      <c r="CG63" s="88"/>
      <c r="CH63" s="88"/>
      <c r="CI63" s="88"/>
      <c r="CJ63" s="88"/>
      <c r="CK63" s="88"/>
      <c r="CL63" s="88"/>
      <c r="CM63" s="88"/>
      <c r="CN63" s="88"/>
      <c r="CO63" s="88"/>
      <c r="CP63" s="88"/>
      <c r="CQ63" s="88"/>
      <c r="CR63" s="88"/>
      <c r="CS63" s="88"/>
      <c r="CT63" s="88"/>
      <c r="CU63" s="88"/>
      <c r="CV63" s="88"/>
      <c r="CW63" s="88"/>
    </row>
  </sheetData>
  <sheetProtection sheet="true" objects="true" scenarios="true"/>
  <mergeCells count="34">
    <mergeCell ref="A1:H1"/>
    <mergeCell ref="A2:H2"/>
    <mergeCell ref="A4:H4"/>
    <mergeCell ref="B6:C6"/>
    <mergeCell ref="E6:F6"/>
    <mergeCell ref="G6:H6"/>
    <mergeCell ref="A8:B8"/>
    <mergeCell ref="B11:B12"/>
    <mergeCell ref="C11:C12"/>
    <mergeCell ref="C16:C17"/>
    <mergeCell ref="A21:A22"/>
    <mergeCell ref="B21:B22"/>
    <mergeCell ref="C21:C22"/>
    <mergeCell ref="A26:A27"/>
    <mergeCell ref="C26:C27"/>
    <mergeCell ref="A31:A32"/>
    <mergeCell ref="B31:B32"/>
    <mergeCell ref="C31:C32"/>
    <mergeCell ref="A36:A37"/>
    <mergeCell ref="B36:B37"/>
    <mergeCell ref="C36:C37"/>
    <mergeCell ref="A41:A42"/>
    <mergeCell ref="B41:B42"/>
    <mergeCell ref="C41:C42"/>
    <mergeCell ref="A47:A48"/>
    <mergeCell ref="B47:B48"/>
    <mergeCell ref="C47:C48"/>
    <mergeCell ref="A52:A53"/>
    <mergeCell ref="B52:B53"/>
    <mergeCell ref="C52:C53"/>
    <mergeCell ref="A57:A58"/>
    <mergeCell ref="B57:B58"/>
    <mergeCell ref="C57:C58"/>
    <mergeCell ref="C62:C63"/>
  </mergeCells>
  <printOptions headings="false" gridLines="false" gridLinesSet="true" horizontalCentered="true" verticalCentered="false"/>
  <pageMargins left="0.7875" right="0.7875" top="0.984027777777778" bottom="0.708333333333333"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M58"/>
  <sheetViews>
    <sheetView showFormulas="false" showGridLines="false" showRowColHeaders="true" showZeros="true" rightToLeft="false" tabSelected="false" showOutlineSymbols="true" defaultGridColor="true" view="normal" topLeftCell="A37" colorId="64" zoomScale="150" zoomScaleNormal="150" zoomScalePageLayoutView="100" workbookViewId="0">
      <selection pane="topLeft" activeCell="H53" activeCellId="0" sqref="H53"/>
    </sheetView>
  </sheetViews>
  <sheetFormatPr defaultColWidth="8.5078125" defaultRowHeight="13.8" zeroHeight="false" outlineLevelRow="0" outlineLevelCol="0"/>
  <cols>
    <col collapsed="false" customWidth="true" hidden="false" outlineLevel="0" max="1" min="1" style="200" width="5.06"/>
    <col collapsed="false" customWidth="true" hidden="false" outlineLevel="0" max="2" min="2" style="103" width="45.62"/>
    <col collapsed="false" customWidth="true" hidden="false" outlineLevel="0" max="3" min="3" style="201" width="9.29"/>
    <col collapsed="false" customWidth="true" hidden="false" outlineLevel="0" max="4" min="4" style="103" width="10.29"/>
    <col collapsed="false" customWidth="true" hidden="false" outlineLevel="0" max="5" min="5" style="202" width="8.29"/>
    <col collapsed="false" customWidth="true" hidden="false" outlineLevel="0" max="6" min="6" style="202" width="9.29"/>
    <col collapsed="false" customWidth="true" hidden="false" outlineLevel="0" max="7" min="7" style="202" width="6.29"/>
    <col collapsed="false" customWidth="true" hidden="false" outlineLevel="0" max="8" min="8" style="202" width="9.29"/>
    <col collapsed="false" customWidth="false" hidden="false" outlineLevel="0" max="12" min="9" style="103" width="8.49"/>
    <col collapsed="false" customWidth="false" hidden="false" outlineLevel="0" max="101" min="13" style="88" width="8.49"/>
    <col collapsed="false" customWidth="false" hidden="false" outlineLevel="0" max="257" min="102" style="1" width="8.49"/>
  </cols>
  <sheetData>
    <row r="1" customFormat="false" ht="13.8" hidden="false" customHeight="true" outlineLevel="0" collapsed="false">
      <c r="A1" s="104" t="s">
        <v>159</v>
      </c>
      <c r="B1" s="104"/>
      <c r="C1" s="104"/>
      <c r="D1" s="104"/>
      <c r="E1" s="104"/>
      <c r="F1" s="104"/>
      <c r="G1" s="104"/>
      <c r="H1" s="104"/>
      <c r="CX1" s="88"/>
      <c r="CY1" s="88"/>
      <c r="CZ1" s="88"/>
      <c r="DA1" s="88"/>
      <c r="DB1" s="88"/>
      <c r="DC1" s="88"/>
      <c r="DD1" s="88"/>
      <c r="DE1" s="88"/>
      <c r="DF1" s="88"/>
      <c r="DG1" s="88"/>
      <c r="DH1" s="88"/>
      <c r="DI1" s="88"/>
      <c r="DJ1" s="88"/>
      <c r="DK1" s="88"/>
      <c r="DL1" s="88"/>
      <c r="DM1" s="88"/>
    </row>
    <row r="2" customFormat="false" ht="17.25" hidden="false" customHeight="true" outlineLevel="0" collapsed="false">
      <c r="A2" s="106" t="s">
        <v>160</v>
      </c>
      <c r="B2" s="106"/>
      <c r="C2" s="106"/>
      <c r="D2" s="106"/>
      <c r="E2" s="106"/>
      <c r="F2" s="106"/>
      <c r="G2" s="106"/>
      <c r="H2" s="106"/>
      <c r="CX2" s="88"/>
      <c r="CY2" s="88"/>
      <c r="CZ2" s="88"/>
      <c r="DA2" s="88"/>
      <c r="DB2" s="88"/>
      <c r="DC2" s="88"/>
      <c r="DD2" s="88"/>
      <c r="DE2" s="88"/>
      <c r="DF2" s="88"/>
      <c r="DG2" s="88"/>
      <c r="DH2" s="88"/>
      <c r="DI2" s="88"/>
      <c r="DJ2" s="88"/>
      <c r="DK2" s="88"/>
      <c r="DL2" s="88"/>
      <c r="DM2" s="88"/>
    </row>
    <row r="3" customFormat="false" ht="6" hidden="false" customHeight="true" outlineLevel="0" collapsed="false">
      <c r="A3" s="205"/>
      <c r="B3" s="101"/>
      <c r="C3" s="87"/>
      <c r="D3" s="102"/>
      <c r="E3" s="102"/>
      <c r="F3" s="102"/>
      <c r="G3" s="102"/>
      <c r="H3" s="103"/>
      <c r="L3" s="88"/>
    </row>
    <row r="4" s="112" customFormat="true" ht="16.95" hidden="false" customHeight="true" outlineLevel="0" collapsed="false">
      <c r="A4" s="270" t="s">
        <v>203</v>
      </c>
      <c r="B4" s="270"/>
      <c r="C4" s="270"/>
      <c r="D4" s="270"/>
      <c r="E4" s="270"/>
      <c r="F4" s="270"/>
      <c r="G4" s="270"/>
      <c r="H4" s="270"/>
      <c r="I4" s="110"/>
      <c r="J4" s="110"/>
      <c r="K4" s="110"/>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row>
    <row r="5" s="112" customFormat="true" ht="16.95" hidden="false" customHeight="true" outlineLevel="0" collapsed="false">
      <c r="A5" s="114"/>
      <c r="B5" s="114"/>
      <c r="C5" s="114"/>
      <c r="D5" s="114"/>
      <c r="E5" s="114"/>
      <c r="F5" s="114"/>
      <c r="G5" s="114"/>
      <c r="H5" s="114"/>
      <c r="I5" s="110"/>
      <c r="J5" s="110"/>
      <c r="K5" s="110"/>
      <c r="L5" s="110"/>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c r="CK5" s="111"/>
      <c r="CL5" s="111"/>
      <c r="CM5" s="111"/>
      <c r="CN5" s="111"/>
      <c r="CO5" s="111"/>
      <c r="CP5" s="111"/>
      <c r="CQ5" s="111"/>
      <c r="CR5" s="111"/>
      <c r="CS5" s="111"/>
      <c r="CT5" s="111"/>
      <c r="CU5" s="111"/>
      <c r="CV5" s="111"/>
      <c r="CW5" s="111"/>
      <c r="CX5" s="111"/>
      <c r="CY5" s="111"/>
      <c r="CZ5" s="111"/>
      <c r="DA5" s="111"/>
      <c r="DB5" s="111"/>
      <c r="DC5" s="111"/>
      <c r="DD5" s="111"/>
      <c r="DE5" s="111"/>
      <c r="DF5" s="111"/>
      <c r="DG5" s="111"/>
      <c r="DH5" s="111"/>
      <c r="DI5" s="111"/>
      <c r="DJ5" s="111"/>
      <c r="DK5" s="111"/>
      <c r="DL5" s="111"/>
      <c r="DM5" s="111"/>
    </row>
    <row r="6" s="112" customFormat="true" ht="18" hidden="false" customHeight="true" outlineLevel="0" collapsed="false">
      <c r="A6" s="208" t="s">
        <v>161</v>
      </c>
      <c r="B6" s="248"/>
      <c r="C6" s="248"/>
      <c r="D6" s="210"/>
      <c r="E6" s="107" t="s">
        <v>162</v>
      </c>
      <c r="F6" s="107"/>
      <c r="G6" s="271"/>
      <c r="H6" s="271"/>
      <c r="I6" s="114"/>
      <c r="J6" s="110"/>
      <c r="K6" s="110"/>
      <c r="L6" s="110"/>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c r="CK6" s="111"/>
      <c r="CL6" s="111"/>
      <c r="CM6" s="111"/>
      <c r="CN6" s="111"/>
      <c r="CO6" s="111"/>
      <c r="CP6" s="111"/>
      <c r="CQ6" s="111"/>
      <c r="CR6" s="111"/>
      <c r="CS6" s="111"/>
      <c r="CT6" s="111"/>
      <c r="CU6" s="111"/>
      <c r="CV6" s="111"/>
      <c r="CW6" s="111"/>
      <c r="CX6" s="111"/>
      <c r="CY6" s="111"/>
      <c r="CZ6" s="111"/>
      <c r="DA6" s="111"/>
      <c r="DB6" s="111"/>
      <c r="DC6" s="111"/>
      <c r="DD6" s="111"/>
      <c r="DE6" s="111"/>
      <c r="DF6" s="111"/>
      <c r="DG6" s="111"/>
      <c r="DH6" s="111"/>
      <c r="DI6" s="111"/>
      <c r="DJ6" s="111"/>
      <c r="DK6" s="111"/>
      <c r="DL6" s="111"/>
      <c r="DM6" s="111"/>
    </row>
    <row r="7" s="112" customFormat="true" ht="6" hidden="false" customHeight="true" outlineLevel="0" collapsed="false">
      <c r="A7" s="212"/>
      <c r="B7" s="123"/>
      <c r="C7" s="122"/>
      <c r="D7" s="123"/>
      <c r="E7" s="123"/>
      <c r="F7" s="123"/>
      <c r="G7" s="123"/>
      <c r="H7" s="110"/>
      <c r="I7" s="110"/>
      <c r="J7" s="110"/>
      <c r="K7" s="110"/>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c r="CG7" s="111"/>
      <c r="CH7" s="111"/>
      <c r="CI7" s="111"/>
      <c r="CJ7" s="111"/>
      <c r="CK7" s="111"/>
      <c r="CL7" s="111"/>
      <c r="CM7" s="111"/>
      <c r="CN7" s="111"/>
      <c r="CO7" s="111"/>
      <c r="CP7" s="111"/>
      <c r="CQ7" s="111"/>
      <c r="CR7" s="111"/>
      <c r="CS7" s="111"/>
      <c r="CT7" s="111"/>
      <c r="CU7" s="111"/>
      <c r="CV7" s="111"/>
      <c r="CW7" s="111"/>
    </row>
    <row r="8" s="129" customFormat="true" ht="26.25" hidden="false" customHeight="true" outlineLevel="0" collapsed="false">
      <c r="A8" s="263" t="s">
        <v>163</v>
      </c>
      <c r="B8" s="263"/>
      <c r="C8" s="264" t="s">
        <v>204</v>
      </c>
      <c r="D8" s="272"/>
      <c r="E8" s="265" t="s">
        <v>165</v>
      </c>
      <c r="F8" s="273" t="s">
        <v>166</v>
      </c>
      <c r="G8" s="87"/>
      <c r="H8" s="87"/>
      <c r="I8" s="130"/>
      <c r="J8" s="130"/>
      <c r="K8" s="130"/>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1"/>
      <c r="CN8" s="131"/>
      <c r="CO8" s="131"/>
      <c r="CP8" s="131"/>
      <c r="CQ8" s="131"/>
      <c r="CR8" s="131"/>
      <c r="CS8" s="131"/>
      <c r="CT8" s="131"/>
      <c r="CU8" s="131"/>
      <c r="CV8" s="131"/>
      <c r="CW8" s="131"/>
    </row>
    <row r="9" s="138" customFormat="true" ht="9.9" hidden="false" customHeight="true" outlineLevel="0" collapsed="false">
      <c r="A9" s="267"/>
      <c r="B9" s="268"/>
      <c r="C9" s="134" t="s">
        <v>205</v>
      </c>
      <c r="D9" s="274"/>
      <c r="E9" s="136" t="s">
        <v>206</v>
      </c>
      <c r="F9" s="137" t="s">
        <v>169</v>
      </c>
      <c r="G9" s="87"/>
      <c r="H9" s="87"/>
      <c r="I9" s="139"/>
      <c r="J9" s="139"/>
      <c r="K9" s="139"/>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c r="CN9" s="140"/>
      <c r="CO9" s="140"/>
      <c r="CP9" s="140"/>
      <c r="CQ9" s="140"/>
      <c r="CR9" s="140"/>
      <c r="CS9" s="140"/>
      <c r="CT9" s="140"/>
      <c r="CU9" s="140"/>
      <c r="CV9" s="140"/>
      <c r="CW9" s="140"/>
    </row>
    <row r="10" customFormat="false" ht="13.2" hidden="false" customHeight="true" outlineLevel="0" collapsed="false">
      <c r="A10" s="141"/>
      <c r="B10" s="142"/>
      <c r="C10" s="143"/>
      <c r="D10" s="142"/>
      <c r="E10" s="143"/>
      <c r="F10" s="143"/>
      <c r="G10" s="87"/>
      <c r="H10" s="87"/>
      <c r="I10" s="87"/>
      <c r="J10" s="87"/>
      <c r="K10" s="87"/>
      <c r="L10" s="87"/>
    </row>
    <row r="11" s="1" customFormat="true" ht="14.7" hidden="false" customHeight="true" outlineLevel="0" collapsed="false">
      <c r="A11" s="144" t="s">
        <v>190</v>
      </c>
      <c r="B11" s="145" t="s">
        <v>191</v>
      </c>
      <c r="C11" s="146"/>
      <c r="D11" s="147" t="s">
        <v>171</v>
      </c>
      <c r="E11" s="148" t="n">
        <f aca="false">'F - COMMER ALL''INGROSSO E DEPOS'!C7</f>
        <v>10.064496</v>
      </c>
      <c r="F11" s="149" t="n">
        <f aca="false">C11*E11</f>
        <v>0</v>
      </c>
      <c r="G11" s="103"/>
      <c r="H11" s="103"/>
      <c r="I11" s="103"/>
      <c r="J11" s="103"/>
      <c r="K11" s="103"/>
      <c r="L11" s="103"/>
      <c r="M11" s="88"/>
      <c r="N11" s="88"/>
      <c r="O11" s="88"/>
      <c r="P11" s="88"/>
      <c r="Q11" s="88"/>
      <c r="R11" s="88"/>
      <c r="S11" s="88"/>
      <c r="T11" s="88"/>
      <c r="U11" s="88"/>
      <c r="V11" s="88"/>
    </row>
    <row r="12" s="1" customFormat="true" ht="13.8" hidden="false" customHeight="true" outlineLevel="0" collapsed="false">
      <c r="A12" s="144"/>
      <c r="B12" s="145"/>
      <c r="C12" s="146"/>
      <c r="D12" s="150" t="s">
        <v>172</v>
      </c>
      <c r="E12" s="151" t="n">
        <f aca="false">'F - COMMER ALL''INGROSSO E DEPOS'!C8</f>
        <v>3.355848</v>
      </c>
      <c r="F12" s="149" t="n">
        <f aca="false">C11*E12</f>
        <v>0</v>
      </c>
      <c r="G12" s="103"/>
      <c r="H12" s="103"/>
      <c r="I12" s="103"/>
      <c r="J12" s="103"/>
      <c r="K12" s="103"/>
      <c r="L12" s="103"/>
      <c r="M12" s="88"/>
      <c r="N12" s="88"/>
      <c r="O12" s="88"/>
      <c r="P12" s="88"/>
      <c r="Q12" s="88"/>
      <c r="R12" s="88"/>
      <c r="S12" s="88"/>
      <c r="T12" s="88"/>
      <c r="U12" s="88"/>
      <c r="V12" s="88"/>
    </row>
    <row r="13" s="1" customFormat="true" ht="6" hidden="false" customHeight="true" outlineLevel="0" collapsed="false">
      <c r="A13" s="167"/>
      <c r="B13" s="142"/>
      <c r="C13" s="153"/>
      <c r="D13" s="150"/>
      <c r="E13" s="154"/>
      <c r="F13" s="155"/>
      <c r="G13" s="103"/>
      <c r="H13" s="103"/>
      <c r="I13" s="103"/>
      <c r="J13" s="103"/>
      <c r="K13" s="103"/>
      <c r="L13" s="103"/>
      <c r="M13" s="88"/>
      <c r="N13" s="88"/>
      <c r="O13" s="88"/>
      <c r="P13" s="88"/>
      <c r="Q13" s="88"/>
      <c r="R13" s="88"/>
      <c r="S13" s="88"/>
      <c r="T13" s="88"/>
      <c r="U13" s="88"/>
      <c r="V13" s="88"/>
    </row>
    <row r="14" s="1" customFormat="true" ht="13.8" hidden="false" customHeight="true" outlineLevel="0" collapsed="false">
      <c r="A14" s="167"/>
      <c r="B14" s="156"/>
      <c r="C14" s="157"/>
      <c r="D14" s="150" t="s">
        <v>7</v>
      </c>
      <c r="E14" s="158"/>
      <c r="F14" s="149" t="n">
        <f aca="false">F11+F12</f>
        <v>0</v>
      </c>
      <c r="G14" s="103"/>
      <c r="H14" s="103"/>
      <c r="I14" s="103"/>
      <c r="J14" s="103"/>
      <c r="K14" s="103"/>
      <c r="L14" s="103"/>
      <c r="M14" s="88"/>
      <c r="N14" s="88"/>
      <c r="O14" s="88"/>
      <c r="P14" s="88"/>
      <c r="Q14" s="88"/>
      <c r="R14" s="88"/>
      <c r="S14" s="88"/>
      <c r="T14" s="88"/>
      <c r="U14" s="88"/>
      <c r="V14" s="88"/>
    </row>
    <row r="15" s="1" customFormat="true" ht="13.8" hidden="false" customHeight="true" outlineLevel="0" collapsed="false">
      <c r="A15" s="167"/>
      <c r="B15" s="156"/>
      <c r="C15" s="157"/>
      <c r="D15" s="150"/>
      <c r="E15" s="154"/>
      <c r="F15" s="251"/>
      <c r="G15" s="103"/>
      <c r="H15" s="103"/>
      <c r="I15" s="103"/>
      <c r="J15" s="103"/>
      <c r="K15" s="103"/>
      <c r="L15" s="103"/>
      <c r="M15" s="88"/>
      <c r="N15" s="88"/>
      <c r="O15" s="88"/>
      <c r="P15" s="88"/>
      <c r="Q15" s="88"/>
      <c r="R15" s="88"/>
      <c r="S15" s="88"/>
      <c r="T15" s="88"/>
      <c r="U15" s="88"/>
      <c r="V15" s="88"/>
    </row>
    <row r="16" s="1" customFormat="true" ht="27" hidden="false" customHeight="true" outlineLevel="0" collapsed="false">
      <c r="A16" s="144" t="s">
        <v>192</v>
      </c>
      <c r="B16" s="231" t="s">
        <v>191</v>
      </c>
      <c r="C16" s="146"/>
      <c r="D16" s="147" t="s">
        <v>171</v>
      </c>
      <c r="E16" s="148" t="n">
        <f aca="false">'F - COMMER ALL''INGROSSO E DEPOS'!D7</f>
        <v>15.096744</v>
      </c>
      <c r="F16" s="149" t="n">
        <f aca="false">C16*E16</f>
        <v>0</v>
      </c>
      <c r="G16" s="103"/>
      <c r="H16" s="103"/>
      <c r="I16" s="103"/>
      <c r="J16" s="103"/>
      <c r="K16" s="103"/>
      <c r="L16" s="103"/>
      <c r="M16" s="88"/>
      <c r="N16" s="88"/>
      <c r="O16" s="88"/>
      <c r="P16" s="88"/>
      <c r="Q16" s="88"/>
      <c r="R16" s="88"/>
      <c r="S16" s="88"/>
      <c r="T16" s="88"/>
      <c r="U16" s="88"/>
      <c r="V16" s="88"/>
    </row>
    <row r="17" s="1" customFormat="true" ht="13.8" hidden="false" customHeight="true" outlineLevel="0" collapsed="false">
      <c r="A17" s="144"/>
      <c r="B17" s="230" t="s">
        <v>193</v>
      </c>
      <c r="C17" s="146"/>
      <c r="D17" s="150" t="s">
        <v>172</v>
      </c>
      <c r="E17" s="160" t="n">
        <f aca="false">'F - COMMER ALL''INGROSSO E DEPOS'!D8</f>
        <v>5.033772</v>
      </c>
      <c r="F17" s="149" t="n">
        <f aca="false">C16*E17</f>
        <v>0</v>
      </c>
      <c r="G17" s="103"/>
      <c r="H17" s="103"/>
      <c r="I17" s="103"/>
      <c r="J17" s="103"/>
      <c r="K17" s="103"/>
      <c r="L17" s="103"/>
      <c r="M17" s="88"/>
      <c r="N17" s="88"/>
      <c r="O17" s="88"/>
      <c r="P17" s="88"/>
      <c r="Q17" s="88"/>
      <c r="R17" s="88"/>
      <c r="S17" s="88"/>
      <c r="T17" s="88"/>
      <c r="U17" s="88"/>
      <c r="V17" s="88"/>
    </row>
    <row r="18" s="1" customFormat="true" ht="6" hidden="false" customHeight="true" outlineLevel="0" collapsed="false">
      <c r="A18" s="167"/>
      <c r="B18" s="156"/>
      <c r="C18" s="157"/>
      <c r="D18" s="150"/>
      <c r="E18" s="154"/>
      <c r="F18" s="155"/>
      <c r="G18" s="103"/>
      <c r="H18" s="103"/>
      <c r="I18" s="103"/>
      <c r="J18" s="103"/>
      <c r="K18" s="103"/>
      <c r="L18" s="103"/>
      <c r="M18" s="88"/>
      <c r="N18" s="88"/>
      <c r="O18" s="88"/>
      <c r="P18" s="88"/>
      <c r="Q18" s="88"/>
      <c r="R18" s="88"/>
      <c r="S18" s="88"/>
      <c r="T18" s="88"/>
      <c r="U18" s="88"/>
      <c r="V18" s="88"/>
    </row>
    <row r="19" s="1" customFormat="true" ht="13.8" hidden="false" customHeight="true" outlineLevel="0" collapsed="false">
      <c r="A19" s="167"/>
      <c r="B19" s="156"/>
      <c r="C19" s="157"/>
      <c r="D19" s="150" t="s">
        <v>7</v>
      </c>
      <c r="E19" s="158"/>
      <c r="F19" s="149" t="n">
        <f aca="false">F16+F17</f>
        <v>0</v>
      </c>
      <c r="G19" s="103"/>
      <c r="H19" s="103"/>
      <c r="I19" s="103"/>
      <c r="J19" s="103"/>
      <c r="K19" s="103"/>
      <c r="L19" s="103"/>
      <c r="M19" s="88"/>
      <c r="N19" s="88"/>
      <c r="O19" s="88"/>
      <c r="P19" s="88"/>
      <c r="Q19" s="88"/>
      <c r="R19" s="88"/>
      <c r="S19" s="88"/>
      <c r="T19" s="88"/>
      <c r="U19" s="88"/>
      <c r="V19" s="88"/>
    </row>
    <row r="20" s="1" customFormat="true" ht="13.8" hidden="false" customHeight="true" outlineLevel="0" collapsed="false">
      <c r="A20" s="167"/>
      <c r="B20" s="156"/>
      <c r="C20" s="157"/>
      <c r="D20" s="150"/>
      <c r="E20" s="154"/>
      <c r="F20" s="251"/>
      <c r="G20" s="103"/>
      <c r="H20" s="103"/>
      <c r="I20" s="103"/>
      <c r="J20" s="103"/>
      <c r="K20" s="103"/>
      <c r="L20" s="103"/>
      <c r="M20" s="88"/>
      <c r="N20" s="88"/>
      <c r="O20" s="88"/>
      <c r="P20" s="88"/>
      <c r="Q20" s="88"/>
      <c r="R20" s="88"/>
      <c r="S20" s="88"/>
      <c r="T20" s="88"/>
      <c r="U20" s="88"/>
      <c r="V20" s="88"/>
    </row>
    <row r="21" s="1" customFormat="true" ht="14.7" hidden="false" customHeight="true" outlineLevel="0" collapsed="false">
      <c r="A21" s="144" t="s">
        <v>194</v>
      </c>
      <c r="B21" s="145" t="s">
        <v>33</v>
      </c>
      <c r="C21" s="146"/>
      <c r="D21" s="147" t="s">
        <v>171</v>
      </c>
      <c r="E21" s="148" t="n">
        <f aca="false">'F - COMMER ALL''INGROSSO E DEPOS'!C11</f>
        <v>10.064496</v>
      </c>
      <c r="F21" s="149" t="n">
        <f aca="false">C21*E21</f>
        <v>0</v>
      </c>
      <c r="G21" s="103"/>
      <c r="H21" s="103"/>
      <c r="I21" s="103"/>
      <c r="J21" s="103"/>
      <c r="K21" s="103"/>
      <c r="L21" s="103"/>
      <c r="M21" s="88"/>
      <c r="N21" s="88"/>
      <c r="O21" s="88"/>
      <c r="P21" s="88"/>
      <c r="Q21" s="88"/>
      <c r="R21" s="88"/>
      <c r="S21" s="88"/>
      <c r="T21" s="88"/>
      <c r="U21" s="88"/>
      <c r="V21" s="88"/>
    </row>
    <row r="22" s="1" customFormat="true" ht="13.8" hidden="false" customHeight="true" outlineLevel="0" collapsed="false">
      <c r="A22" s="144"/>
      <c r="B22" s="145"/>
      <c r="C22" s="146"/>
      <c r="D22" s="150" t="s">
        <v>172</v>
      </c>
      <c r="E22" s="160" t="n">
        <f aca="false">'F - COMMER ALL''INGROSSO E DEPOS'!C12</f>
        <v>3.355848</v>
      </c>
      <c r="F22" s="149" t="n">
        <f aca="false">C21*E22</f>
        <v>0</v>
      </c>
      <c r="G22" s="103"/>
      <c r="H22" s="103"/>
      <c r="I22" s="103"/>
      <c r="J22" s="103"/>
      <c r="K22" s="103"/>
      <c r="L22" s="103"/>
      <c r="M22" s="88"/>
      <c r="N22" s="88"/>
      <c r="O22" s="88"/>
      <c r="P22" s="88"/>
      <c r="Q22" s="88"/>
      <c r="R22" s="88"/>
      <c r="S22" s="88"/>
      <c r="T22" s="88"/>
      <c r="U22" s="88"/>
      <c r="V22" s="88"/>
    </row>
    <row r="23" s="1" customFormat="true" ht="6" hidden="false" customHeight="true" outlineLevel="0" collapsed="false">
      <c r="A23" s="167"/>
      <c r="B23" s="142"/>
      <c r="C23" s="153"/>
      <c r="D23" s="150"/>
      <c r="E23" s="154"/>
      <c r="F23" s="155"/>
      <c r="G23" s="103"/>
      <c r="H23" s="103"/>
      <c r="I23" s="103"/>
      <c r="J23" s="103"/>
      <c r="K23" s="103"/>
      <c r="L23" s="103"/>
      <c r="M23" s="88"/>
      <c r="N23" s="88"/>
      <c r="O23" s="88"/>
      <c r="P23" s="88"/>
      <c r="Q23" s="88"/>
      <c r="R23" s="88"/>
      <c r="S23" s="88"/>
      <c r="T23" s="88"/>
      <c r="U23" s="88"/>
      <c r="V23" s="88"/>
    </row>
    <row r="24" s="1" customFormat="true" ht="13.8" hidden="false" customHeight="true" outlineLevel="0" collapsed="false">
      <c r="A24" s="167"/>
      <c r="B24" s="156"/>
      <c r="C24" s="157"/>
      <c r="D24" s="150" t="s">
        <v>7</v>
      </c>
      <c r="E24" s="158"/>
      <c r="F24" s="149" t="n">
        <f aca="false">F21+F22</f>
        <v>0</v>
      </c>
      <c r="G24" s="103"/>
      <c r="H24" s="103"/>
      <c r="I24" s="103"/>
      <c r="J24" s="103"/>
      <c r="K24" s="103"/>
      <c r="L24" s="103"/>
      <c r="M24" s="88"/>
      <c r="N24" s="88"/>
      <c r="O24" s="88"/>
      <c r="P24" s="88"/>
      <c r="Q24" s="88"/>
      <c r="R24" s="88"/>
      <c r="S24" s="88"/>
      <c r="T24" s="88"/>
      <c r="U24" s="88"/>
      <c r="V24" s="88"/>
    </row>
    <row r="25" s="1" customFormat="true" ht="13.8" hidden="false" customHeight="true" outlineLevel="0" collapsed="false">
      <c r="A25" s="167"/>
      <c r="B25" s="156"/>
      <c r="C25" s="157"/>
      <c r="D25" s="150"/>
      <c r="E25" s="154"/>
      <c r="F25" s="251"/>
      <c r="G25" s="103"/>
      <c r="H25" s="103"/>
      <c r="I25" s="103"/>
      <c r="J25" s="103"/>
      <c r="K25" s="103"/>
      <c r="L25" s="103"/>
      <c r="M25" s="88"/>
      <c r="N25" s="88"/>
      <c r="O25" s="88"/>
      <c r="P25" s="88"/>
      <c r="Q25" s="88"/>
      <c r="R25" s="88"/>
      <c r="S25" s="88"/>
      <c r="T25" s="88"/>
      <c r="U25" s="88"/>
      <c r="V25" s="88"/>
    </row>
    <row r="26" s="1" customFormat="true" ht="13.8" hidden="false" customHeight="true" outlineLevel="0" collapsed="false">
      <c r="A26" s="144" t="s">
        <v>195</v>
      </c>
      <c r="B26" s="231" t="s">
        <v>33</v>
      </c>
      <c r="C26" s="146"/>
      <c r="D26" s="147" t="s">
        <v>171</v>
      </c>
      <c r="E26" s="148" t="n">
        <f aca="false">'F - COMMER ALL''INGROSSO E DEPOS'!D11</f>
        <v>15.096744</v>
      </c>
      <c r="F26" s="149" t="n">
        <f aca="false">C26*E26</f>
        <v>0</v>
      </c>
      <c r="G26" s="103"/>
      <c r="H26" s="103"/>
      <c r="I26" s="103"/>
      <c r="J26" s="103"/>
      <c r="K26" s="103"/>
      <c r="L26" s="103"/>
      <c r="M26" s="88"/>
      <c r="N26" s="88"/>
      <c r="O26" s="88"/>
      <c r="P26" s="88"/>
      <c r="Q26" s="88"/>
      <c r="R26" s="88"/>
      <c r="S26" s="88"/>
      <c r="T26" s="88"/>
      <c r="U26" s="88"/>
      <c r="V26" s="88"/>
    </row>
    <row r="27" s="1" customFormat="true" ht="13.8" hidden="false" customHeight="true" outlineLevel="0" collapsed="false">
      <c r="A27" s="144"/>
      <c r="B27" s="230" t="s">
        <v>193</v>
      </c>
      <c r="C27" s="146"/>
      <c r="D27" s="150" t="s">
        <v>172</v>
      </c>
      <c r="E27" s="160" t="n">
        <f aca="false">'F - COMMER ALL''INGROSSO E DEPOS'!D12</f>
        <v>5.033772</v>
      </c>
      <c r="F27" s="149" t="n">
        <f aca="false">C26*E27</f>
        <v>0</v>
      </c>
      <c r="G27" s="103"/>
      <c r="H27" s="103"/>
      <c r="I27" s="103"/>
      <c r="J27" s="103"/>
      <c r="K27" s="103"/>
      <c r="L27" s="103"/>
      <c r="M27" s="88"/>
      <c r="N27" s="88"/>
      <c r="O27" s="88"/>
      <c r="P27" s="88"/>
      <c r="Q27" s="88"/>
      <c r="R27" s="88"/>
      <c r="S27" s="88"/>
      <c r="T27" s="88"/>
      <c r="U27" s="88"/>
      <c r="V27" s="88"/>
    </row>
    <row r="28" s="1" customFormat="true" ht="6" hidden="false" customHeight="true" outlineLevel="0" collapsed="false">
      <c r="A28" s="167"/>
      <c r="B28" s="156"/>
      <c r="C28" s="157"/>
      <c r="D28" s="150"/>
      <c r="E28" s="154"/>
      <c r="F28" s="155"/>
      <c r="G28" s="103"/>
      <c r="H28" s="103"/>
      <c r="I28" s="103"/>
      <c r="J28" s="103"/>
      <c r="K28" s="103"/>
      <c r="L28" s="103"/>
      <c r="M28" s="88"/>
      <c r="N28" s="88"/>
      <c r="O28" s="88"/>
      <c r="P28" s="88"/>
      <c r="Q28" s="88"/>
      <c r="R28" s="88"/>
      <c r="S28" s="88"/>
      <c r="T28" s="88"/>
      <c r="U28" s="88"/>
      <c r="V28" s="88"/>
    </row>
    <row r="29" s="1" customFormat="true" ht="13.8" hidden="false" customHeight="true" outlineLevel="0" collapsed="false">
      <c r="A29" s="167"/>
      <c r="B29" s="156"/>
      <c r="C29" s="157"/>
      <c r="D29" s="150" t="s">
        <v>7</v>
      </c>
      <c r="E29" s="158"/>
      <c r="F29" s="149" t="n">
        <f aca="false">F26+F27</f>
        <v>0</v>
      </c>
      <c r="G29" s="103"/>
      <c r="H29" s="103"/>
      <c r="I29" s="103"/>
      <c r="J29" s="103"/>
      <c r="K29" s="103"/>
      <c r="L29" s="103"/>
      <c r="M29" s="88"/>
      <c r="N29" s="88"/>
      <c r="O29" s="88"/>
      <c r="P29" s="88"/>
      <c r="Q29" s="88"/>
      <c r="R29" s="88"/>
      <c r="S29" s="88"/>
      <c r="T29" s="88"/>
      <c r="U29" s="88"/>
      <c r="V29" s="88"/>
    </row>
    <row r="30" s="1" customFormat="true" ht="13.8" hidden="false" customHeight="true" outlineLevel="0" collapsed="false">
      <c r="A30" s="167"/>
      <c r="B30" s="156"/>
      <c r="C30" s="157"/>
      <c r="D30" s="150"/>
      <c r="E30" s="154"/>
      <c r="F30" s="251"/>
      <c r="G30" s="103"/>
      <c r="H30" s="103"/>
      <c r="I30" s="103"/>
      <c r="J30" s="103"/>
      <c r="K30" s="103"/>
      <c r="L30" s="103"/>
      <c r="M30" s="88"/>
      <c r="N30" s="88"/>
      <c r="O30" s="88"/>
      <c r="P30" s="88"/>
      <c r="Q30" s="88"/>
      <c r="R30" s="88"/>
      <c r="S30" s="88"/>
      <c r="T30" s="88"/>
      <c r="U30" s="88"/>
      <c r="V30" s="88"/>
    </row>
    <row r="31" s="1" customFormat="true" ht="14.7" hidden="false" customHeight="true" outlineLevel="0" collapsed="false">
      <c r="A31" s="144" t="n">
        <v>3</v>
      </c>
      <c r="B31" s="145" t="s">
        <v>60</v>
      </c>
      <c r="C31" s="146"/>
      <c r="D31" s="147" t="s">
        <v>171</v>
      </c>
      <c r="E31" s="148" t="n">
        <f aca="false">'F - COMMER ALL''INGROSSO E DEPOS'!C18</f>
        <v>26.838656</v>
      </c>
      <c r="F31" s="149" t="n">
        <f aca="false">C31*E31</f>
        <v>0</v>
      </c>
      <c r="G31" s="103"/>
      <c r="H31" s="103"/>
      <c r="I31" s="103"/>
      <c r="J31" s="103"/>
      <c r="K31" s="103"/>
      <c r="L31" s="103"/>
      <c r="M31" s="88"/>
      <c r="N31" s="88"/>
      <c r="O31" s="88"/>
      <c r="P31" s="88"/>
      <c r="Q31" s="88"/>
      <c r="R31" s="88"/>
      <c r="S31" s="88"/>
      <c r="T31" s="88"/>
      <c r="U31" s="88"/>
      <c r="V31" s="88"/>
    </row>
    <row r="32" s="1" customFormat="true" ht="13.8" hidden="false" customHeight="true" outlineLevel="0" collapsed="false">
      <c r="A32" s="144"/>
      <c r="B32" s="145"/>
      <c r="C32" s="146"/>
      <c r="D32" s="150" t="s">
        <v>172</v>
      </c>
      <c r="E32" s="160" t="n">
        <f aca="false">'F - COMMER ALL''INGROSSO E DEPOS'!C19</f>
        <v>8.948928</v>
      </c>
      <c r="F32" s="149" t="n">
        <f aca="false">C31*E32</f>
        <v>0</v>
      </c>
      <c r="G32" s="103"/>
      <c r="H32" s="103"/>
      <c r="I32" s="103"/>
      <c r="J32" s="103"/>
      <c r="K32" s="103"/>
      <c r="L32" s="103"/>
      <c r="M32" s="88"/>
      <c r="N32" s="88"/>
      <c r="O32" s="88"/>
      <c r="P32" s="88"/>
      <c r="Q32" s="88"/>
      <c r="R32" s="88"/>
      <c r="S32" s="88"/>
      <c r="T32" s="88"/>
      <c r="U32" s="88"/>
      <c r="V32" s="88"/>
    </row>
    <row r="33" s="1" customFormat="true" ht="6" hidden="false" customHeight="true" outlineLevel="0" collapsed="false">
      <c r="A33" s="167"/>
      <c r="B33" s="142"/>
      <c r="C33" s="153"/>
      <c r="D33" s="150"/>
      <c r="E33" s="154"/>
      <c r="F33" s="155"/>
      <c r="G33" s="103"/>
      <c r="H33" s="103"/>
      <c r="I33" s="103"/>
      <c r="J33" s="103"/>
      <c r="K33" s="103"/>
      <c r="L33" s="103"/>
      <c r="M33" s="88"/>
      <c r="N33" s="88"/>
      <c r="O33" s="88"/>
      <c r="P33" s="88"/>
      <c r="Q33" s="88"/>
      <c r="R33" s="88"/>
      <c r="S33" s="88"/>
      <c r="T33" s="88"/>
      <c r="U33" s="88"/>
      <c r="V33" s="88"/>
    </row>
    <row r="34" s="1" customFormat="true" ht="13.8" hidden="false" customHeight="true" outlineLevel="0" collapsed="false">
      <c r="A34" s="167"/>
      <c r="B34" s="142"/>
      <c r="C34" s="157"/>
      <c r="D34" s="150" t="s">
        <v>7</v>
      </c>
      <c r="E34" s="158"/>
      <c r="F34" s="149" t="n">
        <f aca="false">F31+F32</f>
        <v>0</v>
      </c>
      <c r="G34" s="103"/>
      <c r="H34" s="103"/>
      <c r="I34" s="103"/>
      <c r="J34" s="103"/>
      <c r="K34" s="103"/>
      <c r="L34" s="103"/>
      <c r="M34" s="88"/>
      <c r="N34" s="88"/>
      <c r="O34" s="88"/>
      <c r="P34" s="88"/>
      <c r="Q34" s="88"/>
      <c r="R34" s="88"/>
      <c r="S34" s="88"/>
      <c r="T34" s="88"/>
      <c r="U34" s="88"/>
      <c r="V34" s="88"/>
    </row>
    <row r="35" s="1" customFormat="true" ht="13.8" hidden="false" customHeight="true" outlineLevel="0" collapsed="false">
      <c r="A35" s="167"/>
      <c r="B35" s="142"/>
      <c r="C35" s="157"/>
      <c r="D35" s="150"/>
      <c r="E35" s="158"/>
      <c r="F35" s="159"/>
      <c r="G35" s="103"/>
      <c r="H35" s="103"/>
      <c r="I35" s="103"/>
      <c r="J35" s="103"/>
      <c r="K35" s="103"/>
      <c r="L35" s="103"/>
      <c r="M35" s="88"/>
      <c r="N35" s="88"/>
      <c r="O35" s="88"/>
      <c r="P35" s="88"/>
      <c r="Q35" s="88"/>
      <c r="R35" s="88"/>
      <c r="S35" s="88"/>
      <c r="T35" s="88"/>
      <c r="U35" s="88"/>
      <c r="V35" s="88"/>
    </row>
    <row r="36" s="1" customFormat="true" ht="14.7" hidden="false" customHeight="true" outlineLevel="0" collapsed="false">
      <c r="A36" s="144" t="n">
        <v>4</v>
      </c>
      <c r="B36" s="275" t="s">
        <v>177</v>
      </c>
      <c r="C36" s="146"/>
      <c r="D36" s="147" t="s">
        <v>171</v>
      </c>
      <c r="E36" s="148" t="n">
        <f aca="false">'F - COMMER ALL''INGROSSO E DEPOS'!C15</f>
        <v>44.2837824</v>
      </c>
      <c r="F36" s="149" t="n">
        <f aca="false">C36*E36</f>
        <v>0</v>
      </c>
      <c r="G36" s="103"/>
      <c r="H36" s="103"/>
      <c r="I36" s="103"/>
      <c r="J36" s="103"/>
      <c r="K36" s="103"/>
      <c r="L36" s="103"/>
      <c r="M36" s="88"/>
      <c r="N36" s="88"/>
      <c r="O36" s="88"/>
      <c r="P36" s="88"/>
      <c r="Q36" s="88"/>
      <c r="R36" s="88"/>
      <c r="S36" s="88"/>
      <c r="T36" s="88"/>
      <c r="U36" s="88"/>
      <c r="V36" s="88"/>
    </row>
    <row r="37" s="1" customFormat="true" ht="13.8" hidden="false" customHeight="true" outlineLevel="0" collapsed="false">
      <c r="A37" s="144"/>
      <c r="B37" s="275"/>
      <c r="C37" s="146"/>
      <c r="D37" s="150" t="s">
        <v>172</v>
      </c>
      <c r="E37" s="160" t="n">
        <f aca="false">'F - COMMER ALL''INGROSSO E DEPOS'!C16</f>
        <v>14.7657312</v>
      </c>
      <c r="F37" s="149" t="n">
        <f aca="false">C36*E37</f>
        <v>0</v>
      </c>
      <c r="G37" s="103"/>
      <c r="H37" s="103"/>
      <c r="I37" s="103"/>
      <c r="J37" s="103"/>
      <c r="K37" s="103"/>
      <c r="L37" s="103"/>
      <c r="M37" s="88"/>
      <c r="N37" s="88"/>
      <c r="O37" s="88"/>
      <c r="P37" s="88"/>
      <c r="Q37" s="88"/>
      <c r="R37" s="88"/>
      <c r="S37" s="88"/>
      <c r="T37" s="88"/>
      <c r="U37" s="88"/>
      <c r="V37" s="88"/>
    </row>
    <row r="38" s="1" customFormat="true" ht="6" hidden="false" customHeight="true" outlineLevel="0" collapsed="false">
      <c r="A38" s="167"/>
      <c r="B38" s="142"/>
      <c r="C38" s="153"/>
      <c r="D38" s="150"/>
      <c r="E38" s="154"/>
      <c r="F38" s="155"/>
      <c r="G38" s="103"/>
      <c r="H38" s="103"/>
      <c r="I38" s="103"/>
      <c r="J38" s="103"/>
      <c r="K38" s="103"/>
      <c r="L38" s="103"/>
      <c r="M38" s="88"/>
      <c r="N38" s="88"/>
      <c r="O38" s="88"/>
      <c r="P38" s="88"/>
      <c r="Q38" s="88"/>
      <c r="R38" s="88"/>
      <c r="S38" s="88"/>
      <c r="T38" s="88"/>
      <c r="U38" s="88"/>
      <c r="V38" s="88"/>
    </row>
    <row r="39" s="1" customFormat="true" ht="13.8" hidden="false" customHeight="true" outlineLevel="0" collapsed="false">
      <c r="A39" s="167"/>
      <c r="B39" s="142"/>
      <c r="C39" s="157"/>
      <c r="D39" s="150" t="s">
        <v>7</v>
      </c>
      <c r="E39" s="158"/>
      <c r="F39" s="149" t="n">
        <f aca="false">F36+F37</f>
        <v>0</v>
      </c>
      <c r="G39" s="103"/>
      <c r="H39" s="103"/>
      <c r="I39" s="103"/>
      <c r="J39" s="103"/>
      <c r="K39" s="103"/>
      <c r="L39" s="103"/>
      <c r="M39" s="88"/>
      <c r="N39" s="88"/>
      <c r="O39" s="88"/>
      <c r="P39" s="88"/>
      <c r="Q39" s="88"/>
      <c r="R39" s="88"/>
      <c r="S39" s="88"/>
      <c r="T39" s="88"/>
      <c r="U39" s="88"/>
      <c r="V39" s="88"/>
    </row>
    <row r="40" s="1" customFormat="true" ht="13.8" hidden="false" customHeight="true" outlineLevel="0" collapsed="false">
      <c r="A40" s="167"/>
      <c r="B40" s="142"/>
      <c r="C40" s="157"/>
      <c r="D40" s="150"/>
      <c r="E40" s="158"/>
      <c r="F40" s="159"/>
      <c r="G40" s="103"/>
      <c r="H40" s="103"/>
      <c r="I40" s="103"/>
      <c r="J40" s="103"/>
      <c r="K40" s="103"/>
      <c r="L40" s="103"/>
      <c r="M40" s="88"/>
      <c r="N40" s="88"/>
      <c r="O40" s="88"/>
      <c r="P40" s="88"/>
      <c r="Q40" s="88"/>
      <c r="R40" s="88"/>
      <c r="S40" s="88"/>
      <c r="T40" s="88"/>
      <c r="U40" s="88"/>
      <c r="V40" s="88"/>
    </row>
    <row r="41" s="1" customFormat="true" ht="13.8" hidden="false" customHeight="true" outlineLevel="0" collapsed="false">
      <c r="A41" s="144"/>
      <c r="B41" s="180" t="s">
        <v>179</v>
      </c>
      <c r="C41" s="181"/>
      <c r="D41" s="182"/>
      <c r="E41" s="183"/>
      <c r="F41" s="184"/>
      <c r="G41" s="103"/>
      <c r="H41" s="103"/>
      <c r="I41" s="103"/>
      <c r="J41" s="103"/>
      <c r="K41" s="103"/>
      <c r="L41" s="103"/>
      <c r="M41" s="88"/>
      <c r="N41" s="88"/>
      <c r="O41" s="88"/>
      <c r="P41" s="88"/>
      <c r="Q41" s="88"/>
      <c r="R41" s="88"/>
      <c r="S41" s="88"/>
      <c r="T41" s="88"/>
      <c r="U41" s="88"/>
      <c r="V41" s="88"/>
    </row>
    <row r="42" s="1" customFormat="true" ht="14.7" hidden="false" customHeight="true" outlineLevel="0" collapsed="false">
      <c r="A42" s="144" t="s">
        <v>207</v>
      </c>
      <c r="B42" s="185" t="s">
        <v>180</v>
      </c>
      <c r="C42" s="146"/>
      <c r="D42" s="147" t="s">
        <v>171</v>
      </c>
      <c r="E42" s="186" t="n">
        <f aca="false">'F - COMMER ALL''INGROSSO E DEPOS'!C21</f>
        <v>52.3353792</v>
      </c>
      <c r="F42" s="168" t="n">
        <f aca="false">C42*E42</f>
        <v>0</v>
      </c>
      <c r="G42" s="103"/>
      <c r="H42" s="103"/>
      <c r="I42" s="103"/>
      <c r="J42" s="103"/>
      <c r="K42" s="103"/>
      <c r="L42" s="103"/>
      <c r="M42" s="88"/>
      <c r="N42" s="88"/>
      <c r="O42" s="88"/>
      <c r="P42" s="88"/>
      <c r="Q42" s="88"/>
      <c r="R42" s="88"/>
      <c r="S42" s="88"/>
      <c r="T42" s="88"/>
      <c r="U42" s="88"/>
      <c r="V42" s="88"/>
    </row>
    <row r="43" s="1" customFormat="true" ht="13.8" hidden="false" customHeight="true" outlineLevel="0" collapsed="false">
      <c r="A43" s="144"/>
      <c r="B43" s="185"/>
      <c r="C43" s="146"/>
      <c r="D43" s="150" t="s">
        <v>172</v>
      </c>
      <c r="E43" s="187" t="n">
        <f aca="false">'F - COMMER ALL''INGROSSO E DEPOS'!C22</f>
        <v>17.4504096</v>
      </c>
      <c r="F43" s="168" t="n">
        <f aca="false">C42*E43</f>
        <v>0</v>
      </c>
      <c r="G43" s="103"/>
      <c r="H43" s="103"/>
      <c r="I43" s="103"/>
      <c r="J43" s="103"/>
      <c r="K43" s="103"/>
      <c r="L43" s="103"/>
      <c r="M43" s="88"/>
      <c r="N43" s="88"/>
      <c r="O43" s="88"/>
      <c r="P43" s="88"/>
      <c r="Q43" s="88"/>
      <c r="R43" s="88"/>
      <c r="S43" s="88"/>
      <c r="T43" s="88"/>
      <c r="U43" s="88"/>
      <c r="V43" s="88"/>
    </row>
    <row r="44" s="1" customFormat="true" ht="6" hidden="false" customHeight="true" outlineLevel="0" collapsed="false">
      <c r="A44" s="188"/>
      <c r="B44" s="252"/>
      <c r="C44" s="157"/>
      <c r="D44" s="150"/>
      <c r="E44" s="102"/>
      <c r="F44" s="170"/>
      <c r="G44" s="103"/>
      <c r="H44" s="103"/>
      <c r="I44" s="103"/>
      <c r="J44" s="103"/>
      <c r="K44" s="103"/>
      <c r="L44" s="103"/>
      <c r="M44" s="88"/>
      <c r="N44" s="88"/>
      <c r="O44" s="88"/>
      <c r="P44" s="88"/>
      <c r="Q44" s="88"/>
      <c r="R44" s="88"/>
      <c r="S44" s="88"/>
      <c r="T44" s="88"/>
      <c r="U44" s="88"/>
      <c r="V44" s="88"/>
    </row>
    <row r="45" s="1" customFormat="true" ht="13.8" hidden="false" customHeight="true" outlineLevel="0" collapsed="false">
      <c r="A45" s="188"/>
      <c r="B45" s="253"/>
      <c r="C45" s="157"/>
      <c r="D45" s="150" t="s">
        <v>7</v>
      </c>
      <c r="E45" s="102"/>
      <c r="F45" s="168" t="n">
        <f aca="false">F42+F43</f>
        <v>0</v>
      </c>
      <c r="G45" s="103"/>
      <c r="H45" s="103"/>
      <c r="I45" s="103"/>
      <c r="J45" s="103"/>
      <c r="K45" s="103"/>
      <c r="L45" s="103"/>
      <c r="M45" s="88"/>
      <c r="N45" s="88"/>
      <c r="O45" s="88"/>
      <c r="P45" s="88"/>
      <c r="Q45" s="88"/>
      <c r="R45" s="88"/>
      <c r="S45" s="88"/>
      <c r="T45" s="88"/>
      <c r="U45" s="88"/>
      <c r="V45" s="88"/>
    </row>
    <row r="46" s="1" customFormat="true" ht="14.7" hidden="false" customHeight="true" outlineLevel="0" collapsed="false">
      <c r="A46" s="188"/>
      <c r="B46" s="253"/>
      <c r="C46" s="157"/>
      <c r="D46" s="150"/>
      <c r="E46" s="102"/>
      <c r="F46" s="254"/>
      <c r="G46" s="103"/>
      <c r="H46" s="103"/>
      <c r="I46" s="103"/>
      <c r="J46" s="103"/>
      <c r="K46" s="103"/>
      <c r="L46" s="103"/>
      <c r="M46" s="88"/>
      <c r="N46" s="88"/>
      <c r="O46" s="88"/>
      <c r="P46" s="88"/>
      <c r="Q46" s="88"/>
      <c r="R46" s="88"/>
      <c r="S46" s="88"/>
      <c r="T46" s="88"/>
      <c r="U46" s="88"/>
      <c r="V46" s="88"/>
    </row>
    <row r="47" s="1" customFormat="true" ht="14.7" hidden="false" customHeight="true" outlineLevel="0" collapsed="false">
      <c r="A47" s="144" t="s">
        <v>208</v>
      </c>
      <c r="B47" s="185" t="s">
        <v>182</v>
      </c>
      <c r="C47" s="146"/>
      <c r="D47" s="147" t="s">
        <v>171</v>
      </c>
      <c r="E47" s="186" t="n">
        <f aca="false">'F - COMMER ALL''INGROSSO E DEPOS'!C24</f>
        <v>43.612816</v>
      </c>
      <c r="F47" s="168" t="n">
        <f aca="false">C47*E47</f>
        <v>0</v>
      </c>
      <c r="G47" s="103"/>
      <c r="H47" s="103"/>
      <c r="I47" s="103"/>
      <c r="J47" s="103"/>
      <c r="K47" s="103"/>
      <c r="L47" s="103"/>
      <c r="M47" s="88"/>
      <c r="N47" s="88"/>
      <c r="O47" s="88"/>
      <c r="P47" s="88"/>
      <c r="Q47" s="88"/>
      <c r="R47" s="88"/>
      <c r="S47" s="88"/>
      <c r="T47" s="88"/>
      <c r="U47" s="88"/>
      <c r="V47" s="88"/>
    </row>
    <row r="48" s="1" customFormat="true" ht="13.8" hidden="false" customHeight="true" outlineLevel="0" collapsed="false">
      <c r="A48" s="144"/>
      <c r="B48" s="185"/>
      <c r="C48" s="146"/>
      <c r="D48" s="150" t="s">
        <v>172</v>
      </c>
      <c r="E48" s="187" t="n">
        <f aca="false">'F - COMMER ALL''INGROSSO E DEPOS'!C25</f>
        <v>14.542008</v>
      </c>
      <c r="F48" s="168" t="n">
        <f aca="false">C47*E48</f>
        <v>0</v>
      </c>
      <c r="G48" s="103"/>
      <c r="H48" s="103"/>
      <c r="I48" s="103"/>
      <c r="J48" s="103"/>
      <c r="K48" s="103"/>
      <c r="L48" s="103"/>
      <c r="M48" s="88"/>
      <c r="N48" s="88"/>
      <c r="O48" s="88"/>
      <c r="P48" s="88"/>
      <c r="Q48" s="88"/>
      <c r="R48" s="88"/>
      <c r="S48" s="88"/>
      <c r="T48" s="88"/>
      <c r="U48" s="88"/>
      <c r="V48" s="88"/>
    </row>
    <row r="49" s="1" customFormat="true" ht="6" hidden="false" customHeight="true" outlineLevel="0" collapsed="false">
      <c r="A49" s="188"/>
      <c r="B49" s="253"/>
      <c r="C49" s="157"/>
      <c r="D49" s="150"/>
      <c r="E49" s="102"/>
      <c r="F49" s="170"/>
      <c r="G49" s="103"/>
      <c r="H49" s="103"/>
      <c r="I49" s="103"/>
      <c r="J49" s="103"/>
      <c r="K49" s="103"/>
      <c r="L49" s="103"/>
      <c r="M49" s="88"/>
      <c r="N49" s="88"/>
      <c r="O49" s="88"/>
      <c r="P49" s="88"/>
      <c r="Q49" s="88"/>
      <c r="R49" s="88"/>
      <c r="S49" s="88"/>
      <c r="T49" s="88"/>
      <c r="U49" s="88"/>
      <c r="V49" s="88"/>
    </row>
    <row r="50" s="1" customFormat="true" ht="13.8" hidden="false" customHeight="true" outlineLevel="0" collapsed="false">
      <c r="A50" s="188"/>
      <c r="B50" s="253"/>
      <c r="C50" s="157"/>
      <c r="D50" s="150" t="s">
        <v>7</v>
      </c>
      <c r="E50" s="102"/>
      <c r="F50" s="168" t="n">
        <f aca="false">F47+F48</f>
        <v>0</v>
      </c>
      <c r="G50" s="103"/>
      <c r="H50" s="103"/>
      <c r="I50" s="103"/>
      <c r="J50" s="103"/>
      <c r="K50" s="103"/>
      <c r="L50" s="103"/>
      <c r="M50" s="88"/>
      <c r="N50" s="88"/>
      <c r="O50" s="88"/>
      <c r="P50" s="88"/>
      <c r="Q50" s="88"/>
      <c r="R50" s="88"/>
      <c r="S50" s="88"/>
      <c r="T50" s="88"/>
      <c r="U50" s="88"/>
      <c r="V50" s="88"/>
    </row>
    <row r="51" s="1" customFormat="true" ht="14.7" hidden="false" customHeight="true" outlineLevel="0" collapsed="false">
      <c r="A51" s="188"/>
      <c r="B51" s="253"/>
      <c r="C51" s="157"/>
      <c r="D51" s="150"/>
      <c r="E51" s="102"/>
      <c r="F51" s="254"/>
      <c r="G51" s="103"/>
      <c r="H51" s="103"/>
      <c r="I51" s="103"/>
      <c r="J51" s="103"/>
      <c r="K51" s="103"/>
      <c r="L51" s="103"/>
      <c r="M51" s="88"/>
      <c r="N51" s="88"/>
      <c r="O51" s="88"/>
      <c r="P51" s="88"/>
      <c r="Q51" s="88"/>
      <c r="R51" s="88"/>
      <c r="S51" s="88"/>
      <c r="T51" s="88"/>
      <c r="U51" s="88"/>
      <c r="V51" s="88"/>
    </row>
    <row r="52" s="1" customFormat="true" ht="14.7" hidden="false" customHeight="true" outlineLevel="0" collapsed="false">
      <c r="A52" s="144" t="s">
        <v>209</v>
      </c>
      <c r="B52" s="185" t="s">
        <v>184</v>
      </c>
      <c r="C52" s="146"/>
      <c r="D52" s="147" t="s">
        <v>171</v>
      </c>
      <c r="E52" s="186" t="n">
        <v>39.25</v>
      </c>
      <c r="F52" s="168" t="n">
        <f aca="false">C52*E52</f>
        <v>0</v>
      </c>
      <c r="G52" s="103"/>
      <c r="H52" s="103"/>
      <c r="I52" s="103"/>
      <c r="J52" s="103"/>
      <c r="K52" s="103"/>
      <c r="L52" s="103"/>
      <c r="M52" s="88"/>
      <c r="N52" s="88"/>
      <c r="O52" s="88"/>
      <c r="P52" s="88"/>
      <c r="Q52" s="88"/>
      <c r="R52" s="88"/>
      <c r="S52" s="88"/>
      <c r="T52" s="88"/>
      <c r="U52" s="88"/>
      <c r="V52" s="88"/>
    </row>
    <row r="53" s="1" customFormat="true" ht="14.7" hidden="false" customHeight="true" outlineLevel="0" collapsed="false">
      <c r="A53" s="144"/>
      <c r="B53" s="185"/>
      <c r="C53" s="146"/>
      <c r="D53" s="150" t="s">
        <v>172</v>
      </c>
      <c r="E53" s="189" t="n">
        <f aca="false">'F - COMMER ALL''INGROSSO E DEPOS'!C28</f>
        <v>13.0878072</v>
      </c>
      <c r="F53" s="168" t="n">
        <f aca="false">C52*E53</f>
        <v>0</v>
      </c>
      <c r="G53" s="103"/>
      <c r="H53" s="103"/>
      <c r="I53" s="103"/>
      <c r="J53" s="103"/>
      <c r="K53" s="103"/>
      <c r="L53" s="103"/>
      <c r="M53" s="88"/>
      <c r="N53" s="88"/>
      <c r="O53" s="88"/>
      <c r="P53" s="88"/>
      <c r="Q53" s="88"/>
      <c r="R53" s="88"/>
      <c r="S53" s="88"/>
      <c r="T53" s="88"/>
      <c r="U53" s="88"/>
      <c r="V53" s="88"/>
    </row>
    <row r="54" s="1" customFormat="true" ht="6" hidden="false" customHeight="true" outlineLevel="0" collapsed="false">
      <c r="A54" s="167"/>
      <c r="B54" s="171"/>
      <c r="C54" s="157"/>
      <c r="D54" s="150"/>
      <c r="E54" s="154"/>
      <c r="F54" s="170"/>
      <c r="G54" s="103"/>
      <c r="H54" s="103"/>
      <c r="I54" s="103"/>
      <c r="J54" s="103"/>
      <c r="K54" s="103"/>
      <c r="L54" s="103"/>
      <c r="M54" s="88"/>
      <c r="N54" s="88"/>
      <c r="O54" s="88"/>
      <c r="P54" s="88"/>
      <c r="Q54" s="88"/>
      <c r="R54" s="88"/>
      <c r="S54" s="88"/>
      <c r="T54" s="88"/>
      <c r="U54" s="88"/>
      <c r="V54" s="88"/>
    </row>
    <row r="55" s="1" customFormat="true" ht="13.8" hidden="false" customHeight="true" outlineLevel="0" collapsed="false">
      <c r="A55" s="167"/>
      <c r="B55" s="174"/>
      <c r="C55" s="190"/>
      <c r="D55" s="176" t="s">
        <v>7</v>
      </c>
      <c r="E55" s="191"/>
      <c r="F55" s="177" t="n">
        <f aca="false">F52+F53</f>
        <v>0</v>
      </c>
      <c r="G55" s="103"/>
      <c r="H55" s="103"/>
      <c r="I55" s="103"/>
      <c r="J55" s="103"/>
      <c r="K55" s="103"/>
      <c r="L55" s="103"/>
      <c r="M55" s="88"/>
      <c r="N55" s="88"/>
      <c r="O55" s="88"/>
      <c r="P55" s="88"/>
      <c r="Q55" s="88"/>
      <c r="R55" s="88"/>
      <c r="S55" s="88"/>
      <c r="T55" s="88"/>
      <c r="U55" s="88"/>
      <c r="V55" s="88"/>
    </row>
    <row r="56" s="1" customFormat="true" ht="10.5" hidden="false" customHeight="true" outlineLevel="0" collapsed="false">
      <c r="A56" s="167"/>
      <c r="B56" s="142"/>
      <c r="C56" s="153"/>
      <c r="D56" s="150"/>
      <c r="E56" s="154"/>
      <c r="F56" s="155"/>
      <c r="G56" s="103"/>
      <c r="H56" s="103"/>
      <c r="I56" s="103"/>
      <c r="J56" s="103"/>
      <c r="K56" s="103"/>
      <c r="L56" s="103"/>
      <c r="M56" s="88"/>
      <c r="N56" s="88"/>
      <c r="O56" s="88"/>
      <c r="P56" s="88"/>
      <c r="Q56" s="88"/>
      <c r="R56" s="88"/>
      <c r="S56" s="88"/>
      <c r="T56" s="88"/>
      <c r="U56" s="88"/>
      <c r="V56" s="88"/>
    </row>
    <row r="57" customFormat="false" ht="13.8" hidden="false" customHeight="true" outlineLevel="0" collapsed="false">
      <c r="A57" s="167"/>
      <c r="B57" s="142"/>
      <c r="C57" s="239" t="s">
        <v>185</v>
      </c>
      <c r="D57" s="150" t="s">
        <v>171</v>
      </c>
      <c r="E57" s="158"/>
      <c r="F57" s="255" t="n">
        <f aca="false">F11+F16+F21+F26+F31+F36+F42+F47+F52</f>
        <v>0</v>
      </c>
      <c r="G57" s="103"/>
      <c r="H57" s="103"/>
      <c r="CX57" s="88"/>
      <c r="CY57" s="88"/>
      <c r="CZ57" s="88"/>
      <c r="DA57" s="88"/>
      <c r="DB57" s="88"/>
      <c r="DC57" s="88"/>
      <c r="DD57" s="88"/>
      <c r="DE57" s="88"/>
      <c r="DF57" s="88"/>
      <c r="DG57" s="88"/>
      <c r="DH57" s="88"/>
      <c r="DI57" s="88"/>
      <c r="DJ57" s="88"/>
      <c r="DK57" s="88"/>
      <c r="DL57" s="88"/>
      <c r="DM57" s="88"/>
    </row>
    <row r="58" customFormat="false" ht="13.8" hidden="false" customHeight="true" outlineLevel="0" collapsed="false">
      <c r="A58" s="241"/>
      <c r="B58" s="197"/>
      <c r="C58" s="239"/>
      <c r="D58" s="198" t="s">
        <v>172</v>
      </c>
      <c r="E58" s="194"/>
      <c r="F58" s="255" t="n">
        <f aca="false">F12+F17+F22+F27+F32+F37+F43+F48+F53</f>
        <v>0</v>
      </c>
      <c r="G58" s="103"/>
      <c r="H58" s="103"/>
      <c r="CX58" s="88"/>
      <c r="CY58" s="88"/>
      <c r="CZ58" s="88"/>
      <c r="DA58" s="88"/>
      <c r="DB58" s="88"/>
      <c r="DC58" s="88"/>
      <c r="DD58" s="88"/>
      <c r="DE58" s="88"/>
      <c r="DF58" s="88"/>
      <c r="DG58" s="88"/>
      <c r="DH58" s="88"/>
      <c r="DI58" s="88"/>
      <c r="DJ58" s="88"/>
      <c r="DK58" s="88"/>
      <c r="DL58" s="88"/>
      <c r="DM58" s="88"/>
    </row>
  </sheetData>
  <sheetProtection sheet="true" objects="true" scenarios="true"/>
  <mergeCells count="33">
    <mergeCell ref="A1:H1"/>
    <mergeCell ref="A2:H2"/>
    <mergeCell ref="A4:H4"/>
    <mergeCell ref="B6:C6"/>
    <mergeCell ref="E6:F6"/>
    <mergeCell ref="G6:H6"/>
    <mergeCell ref="A8:B8"/>
    <mergeCell ref="A11:A12"/>
    <mergeCell ref="B11:B12"/>
    <mergeCell ref="C11:C12"/>
    <mergeCell ref="A16:A17"/>
    <mergeCell ref="C16:C17"/>
    <mergeCell ref="A21:A22"/>
    <mergeCell ref="B21:B22"/>
    <mergeCell ref="C21:C22"/>
    <mergeCell ref="A26:A27"/>
    <mergeCell ref="C26:C27"/>
    <mergeCell ref="A31:A32"/>
    <mergeCell ref="B31:B32"/>
    <mergeCell ref="C31:C32"/>
    <mergeCell ref="A36:A37"/>
    <mergeCell ref="B36:B37"/>
    <mergeCell ref="C36:C37"/>
    <mergeCell ref="A42:A43"/>
    <mergeCell ref="B42:B43"/>
    <mergeCell ref="C42:C43"/>
    <mergeCell ref="A47:A48"/>
    <mergeCell ref="B47:B48"/>
    <mergeCell ref="C47:C48"/>
    <mergeCell ref="A52:A53"/>
    <mergeCell ref="B52:B53"/>
    <mergeCell ref="C52:C53"/>
    <mergeCell ref="C57:C58"/>
  </mergeCells>
  <printOptions headings="false" gridLines="false" gridLinesSet="true" horizontalCentered="true" verticalCentered="false"/>
  <pageMargins left="0.7875" right="0.7875" top="0.984027777777778" bottom="0.7062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N34"/>
  <sheetViews>
    <sheetView showFormulas="false" showGridLines="false" showRowColHeaders="true" showZeros="true" rightToLeft="false" tabSelected="false" showOutlineSymbols="true" defaultGridColor="true" view="normal" topLeftCell="A19" colorId="64" zoomScale="150" zoomScaleNormal="150" zoomScalePageLayoutView="100" workbookViewId="0">
      <selection pane="topLeft" activeCell="F22" activeCellId="0" sqref="F22"/>
    </sheetView>
  </sheetViews>
  <sheetFormatPr defaultColWidth="8.5078125" defaultRowHeight="13.8" zeroHeight="false" outlineLevelRow="0" outlineLevelCol="0"/>
  <cols>
    <col collapsed="false" customWidth="true" hidden="false" outlineLevel="0" max="2" min="1" style="200" width="3.29"/>
    <col collapsed="false" customWidth="true" hidden="false" outlineLevel="0" max="3" min="3" style="103" width="43.52"/>
    <col collapsed="false" customWidth="true" hidden="false" outlineLevel="0" max="4" min="4" style="201" width="9.29"/>
    <col collapsed="false" customWidth="true" hidden="true" outlineLevel="0" max="5" min="5" style="103" width="7.62"/>
    <col collapsed="false" customWidth="true" hidden="false" outlineLevel="0" max="6" min="6" style="202" width="7.29"/>
    <col collapsed="false" customWidth="true" hidden="false" outlineLevel="0" max="7" min="7" style="202" width="9.29"/>
    <col collapsed="false" customWidth="true" hidden="false" outlineLevel="0" max="8" min="8" style="202" width="6.29"/>
    <col collapsed="false" customWidth="true" hidden="false" outlineLevel="0" max="9" min="9" style="202" width="9.29"/>
    <col collapsed="false" customWidth="false" hidden="false" outlineLevel="0" max="13" min="10" style="103" width="8.49"/>
    <col collapsed="false" customWidth="false" hidden="false" outlineLevel="0" max="34" min="14" style="88" width="8.49"/>
    <col collapsed="false" customWidth="false" hidden="false" outlineLevel="0" max="257" min="35" style="1" width="8.49"/>
  </cols>
  <sheetData>
    <row r="1" customFormat="false" ht="13.8" hidden="false" customHeight="true" outlineLevel="0" collapsed="false">
      <c r="A1" s="104" t="s">
        <v>159</v>
      </c>
      <c r="B1" s="104"/>
      <c r="C1" s="104"/>
      <c r="D1" s="104"/>
      <c r="E1" s="104"/>
      <c r="F1" s="104"/>
      <c r="G1" s="104"/>
      <c r="H1" s="104"/>
      <c r="I1" s="104"/>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row>
    <row r="2" customFormat="false" ht="17.25" hidden="false" customHeight="true" outlineLevel="0" collapsed="false">
      <c r="A2" s="276" t="s">
        <v>210</v>
      </c>
      <c r="B2" s="276"/>
      <c r="C2" s="276"/>
      <c r="D2" s="276"/>
      <c r="E2" s="276"/>
      <c r="F2" s="276"/>
      <c r="G2" s="276"/>
      <c r="H2" s="276"/>
      <c r="I2" s="276"/>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8"/>
      <c r="DE2" s="88"/>
      <c r="DF2" s="88"/>
      <c r="DG2" s="88"/>
      <c r="DH2" s="88"/>
      <c r="DI2" s="88"/>
      <c r="DJ2" s="88"/>
      <c r="DK2" s="88"/>
      <c r="DL2" s="88"/>
      <c r="DM2" s="88"/>
      <c r="DN2" s="88"/>
    </row>
    <row r="3" customFormat="false" ht="6" hidden="false" customHeight="true" outlineLevel="0" collapsed="false">
      <c r="A3" s="277"/>
      <c r="B3" s="277"/>
      <c r="C3" s="277"/>
      <c r="D3" s="277"/>
      <c r="E3" s="277"/>
      <c r="F3" s="277"/>
      <c r="G3" s="277"/>
      <c r="H3" s="277"/>
      <c r="I3" s="277"/>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c r="DJ3" s="88"/>
      <c r="DK3" s="88"/>
      <c r="DL3" s="88"/>
      <c r="DM3" s="88"/>
      <c r="DN3" s="88"/>
    </row>
    <row r="4" customFormat="false" ht="16.95" hidden="false" customHeight="true" outlineLevel="0" collapsed="false">
      <c r="A4" s="278" t="s">
        <v>211</v>
      </c>
      <c r="B4" s="278"/>
      <c r="C4" s="278"/>
      <c r="D4" s="278"/>
      <c r="E4" s="278"/>
      <c r="F4" s="278"/>
      <c r="G4" s="278"/>
      <c r="H4" s="278"/>
      <c r="I4" s="27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row>
    <row r="5" customFormat="false" ht="16.95" hidden="false" customHeight="true" outlineLevel="0" collapsed="false">
      <c r="A5" s="279"/>
      <c r="B5" s="279"/>
      <c r="C5" s="279"/>
      <c r="D5" s="279"/>
      <c r="E5" s="279"/>
      <c r="F5" s="279"/>
      <c r="G5" s="279"/>
      <c r="H5" s="279"/>
      <c r="I5" s="279"/>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B5" s="88"/>
      <c r="CC5" s="88"/>
      <c r="CD5" s="88"/>
      <c r="CE5" s="88"/>
      <c r="CF5" s="88"/>
      <c r="CG5" s="88"/>
      <c r="CH5" s="88"/>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row>
    <row r="6" s="112" customFormat="true" ht="18" hidden="false" customHeight="true" outlineLevel="0" collapsed="false">
      <c r="A6" s="208" t="s">
        <v>161</v>
      </c>
      <c r="B6" s="208"/>
      <c r="C6" s="248"/>
      <c r="D6" s="248"/>
      <c r="E6" s="210"/>
      <c r="F6" s="107" t="s">
        <v>162</v>
      </c>
      <c r="G6" s="107"/>
      <c r="H6" s="271"/>
      <c r="I6" s="271"/>
      <c r="J6" s="114"/>
      <c r="K6" s="110"/>
      <c r="L6" s="110"/>
      <c r="M6" s="110"/>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c r="CK6" s="111"/>
      <c r="CL6" s="111"/>
      <c r="CM6" s="111"/>
      <c r="CN6" s="111"/>
      <c r="CO6" s="111"/>
      <c r="CP6" s="111"/>
      <c r="CQ6" s="111"/>
      <c r="CR6" s="111"/>
      <c r="CS6" s="111"/>
      <c r="CT6" s="111"/>
      <c r="CU6" s="111"/>
      <c r="CV6" s="111"/>
      <c r="CW6" s="111"/>
      <c r="CX6" s="111"/>
      <c r="CY6" s="111"/>
      <c r="CZ6" s="111"/>
      <c r="DA6" s="111"/>
      <c r="DB6" s="111"/>
      <c r="DC6" s="111"/>
      <c r="DD6" s="111"/>
      <c r="DE6" s="111"/>
      <c r="DF6" s="111"/>
      <c r="DG6" s="111"/>
      <c r="DH6" s="111"/>
      <c r="DI6" s="111"/>
      <c r="DJ6" s="111"/>
      <c r="DK6" s="111"/>
      <c r="DL6" s="111"/>
      <c r="DM6" s="111"/>
      <c r="DN6" s="111"/>
    </row>
    <row r="7" customFormat="false" ht="6" hidden="false" customHeight="true" outlineLevel="0" collapsed="false">
      <c r="A7" s="205"/>
      <c r="B7" s="87"/>
      <c r="C7" s="101"/>
      <c r="D7" s="87"/>
      <c r="E7" s="102"/>
      <c r="F7" s="102"/>
      <c r="G7" s="102"/>
      <c r="H7" s="102"/>
      <c r="I7" s="103"/>
      <c r="M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8"/>
      <c r="CK7" s="88"/>
      <c r="CL7" s="88"/>
      <c r="CM7" s="88"/>
      <c r="CN7" s="88"/>
      <c r="CO7" s="88"/>
      <c r="CP7" s="88"/>
      <c r="CQ7" s="88"/>
      <c r="CR7" s="88"/>
      <c r="CS7" s="88"/>
      <c r="CT7" s="88"/>
      <c r="CU7" s="88"/>
      <c r="CV7" s="88"/>
      <c r="CW7" s="88"/>
      <c r="CX7" s="88"/>
      <c r="CY7" s="88"/>
      <c r="CZ7" s="88"/>
      <c r="DA7" s="88"/>
      <c r="DB7" s="88"/>
    </row>
    <row r="8" s="112" customFormat="true" ht="18" hidden="false" customHeight="true" outlineLevel="0" collapsed="false">
      <c r="A8" s="280" t="s">
        <v>11</v>
      </c>
      <c r="B8" s="280"/>
      <c r="C8" s="280"/>
      <c r="D8" s="280"/>
      <c r="E8" s="280"/>
      <c r="F8" s="280"/>
      <c r="G8" s="280"/>
      <c r="H8" s="280"/>
      <c r="I8" s="280"/>
      <c r="J8" s="110"/>
      <c r="K8" s="110"/>
      <c r="L8" s="110"/>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1"/>
      <c r="CF8" s="111"/>
      <c r="CG8" s="111"/>
      <c r="CH8" s="111"/>
      <c r="CI8" s="111"/>
      <c r="CJ8" s="111"/>
      <c r="CK8" s="111"/>
      <c r="CL8" s="111"/>
      <c r="CM8" s="111"/>
      <c r="CN8" s="111"/>
      <c r="CO8" s="111"/>
      <c r="CP8" s="111"/>
      <c r="CQ8" s="111"/>
      <c r="CR8" s="111"/>
      <c r="CS8" s="111"/>
      <c r="CT8" s="111"/>
      <c r="CU8" s="111"/>
      <c r="CV8" s="111"/>
      <c r="CW8" s="111"/>
      <c r="CX8" s="111"/>
      <c r="CY8" s="111"/>
      <c r="CZ8" s="111"/>
      <c r="DA8" s="111"/>
      <c r="DB8" s="111"/>
    </row>
    <row r="9" s="111" customFormat="true" ht="6" hidden="false" customHeight="true" outlineLevel="0" collapsed="false">
      <c r="A9" s="107"/>
      <c r="B9" s="107"/>
      <c r="C9" s="281"/>
      <c r="D9" s="107"/>
      <c r="E9" s="107"/>
      <c r="F9" s="107"/>
      <c r="G9" s="107"/>
      <c r="H9" s="107"/>
      <c r="I9" s="282"/>
      <c r="J9" s="114"/>
      <c r="K9" s="110"/>
      <c r="L9" s="110"/>
      <c r="M9" s="110"/>
    </row>
    <row r="10" s="129" customFormat="true" ht="26.25" hidden="false" customHeight="true" outlineLevel="0" collapsed="false">
      <c r="A10" s="263" t="s">
        <v>163</v>
      </c>
      <c r="B10" s="263"/>
      <c r="C10" s="263"/>
      <c r="D10" s="264" t="s">
        <v>164</v>
      </c>
      <c r="E10" s="272"/>
      <c r="F10" s="265" t="s">
        <v>165</v>
      </c>
      <c r="G10" s="273" t="s">
        <v>166</v>
      </c>
      <c r="H10" s="87"/>
      <c r="I10" s="87"/>
      <c r="J10" s="130"/>
      <c r="K10" s="130"/>
      <c r="L10" s="130"/>
      <c r="M10" s="131"/>
      <c r="N10" s="131"/>
      <c r="O10" s="131"/>
      <c r="P10" s="131"/>
      <c r="Q10" s="131"/>
      <c r="R10" s="131"/>
      <c r="S10" s="131"/>
      <c r="T10" s="131"/>
      <c r="U10" s="131"/>
      <c r="V10" s="131"/>
      <c r="W10" s="131"/>
      <c r="X10" s="131"/>
      <c r="Y10" s="131"/>
      <c r="Z10" s="131"/>
      <c r="AA10" s="131"/>
      <c r="AB10" s="131"/>
      <c r="AC10" s="131"/>
      <c r="AD10" s="131"/>
      <c r="AE10" s="131"/>
      <c r="AF10" s="131"/>
      <c r="AG10" s="131"/>
      <c r="AH10" s="131"/>
    </row>
    <row r="11" s="138" customFormat="true" ht="9.9" hidden="false" customHeight="true" outlineLevel="0" collapsed="false">
      <c r="A11" s="267"/>
      <c r="B11" s="283"/>
      <c r="C11" s="268"/>
      <c r="D11" s="134" t="s">
        <v>167</v>
      </c>
      <c r="E11" s="274"/>
      <c r="F11" s="136" t="s">
        <v>212</v>
      </c>
      <c r="G11" s="137" t="s">
        <v>169</v>
      </c>
      <c r="H11" s="87"/>
      <c r="I11" s="87"/>
      <c r="J11" s="139"/>
      <c r="K11" s="139"/>
      <c r="L11" s="139"/>
      <c r="M11" s="140"/>
      <c r="N11" s="140"/>
      <c r="O11" s="140"/>
      <c r="P11" s="140"/>
      <c r="Q11" s="140"/>
      <c r="R11" s="140"/>
      <c r="S11" s="140"/>
      <c r="T11" s="140"/>
      <c r="U11" s="140"/>
      <c r="V11" s="140"/>
      <c r="W11" s="140"/>
      <c r="X11" s="140"/>
      <c r="Y11" s="140"/>
      <c r="Z11" s="140"/>
      <c r="AA11" s="140"/>
      <c r="AB11" s="140"/>
      <c r="AC11" s="140"/>
      <c r="AD11" s="140"/>
      <c r="AE11" s="140"/>
      <c r="AF11" s="140"/>
      <c r="AG11" s="140"/>
      <c r="AH11" s="140"/>
    </row>
    <row r="12" customFormat="false" ht="14.25" hidden="false" customHeight="true" outlineLevel="0" collapsed="false">
      <c r="A12" s="141"/>
      <c r="B12" s="284"/>
      <c r="C12" s="142"/>
      <c r="D12" s="143"/>
      <c r="E12" s="142"/>
      <c r="F12" s="143"/>
      <c r="G12" s="143"/>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285"/>
      <c r="AJ12" s="285"/>
      <c r="AK12" s="285"/>
      <c r="AL12" s="285"/>
    </row>
    <row r="13" s="1" customFormat="true" ht="37.5" hidden="false" customHeight="true" outlineLevel="0" collapsed="false">
      <c r="A13" s="286" t="n">
        <v>1</v>
      </c>
      <c r="B13" s="287" t="s">
        <v>213</v>
      </c>
      <c r="C13" s="287"/>
      <c r="D13" s="146"/>
      <c r="E13" s="288"/>
      <c r="F13" s="289" t="n">
        <f aca="false">'H - ONERI VERDI'!C4</f>
        <v>24.05888</v>
      </c>
      <c r="G13" s="290" t="n">
        <f aca="false">D13*F13</f>
        <v>0</v>
      </c>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285"/>
      <c r="AJ13" s="285"/>
      <c r="AK13" s="285"/>
      <c r="AL13" s="285"/>
    </row>
    <row r="14" s="1" customFormat="true" ht="13.2" hidden="false" customHeight="true" outlineLevel="0" collapsed="false">
      <c r="A14" s="291"/>
      <c r="B14" s="230"/>
      <c r="C14" s="142"/>
      <c r="D14" s="54"/>
      <c r="E14" s="54"/>
      <c r="F14" s="292"/>
      <c r="G14" s="293"/>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285"/>
      <c r="AJ14" s="285"/>
      <c r="AK14" s="285"/>
      <c r="AL14" s="285"/>
    </row>
    <row r="15" s="1" customFormat="true" ht="48.45" hidden="false" customHeight="true" outlineLevel="0" collapsed="false">
      <c r="A15" s="286" t="n">
        <v>2</v>
      </c>
      <c r="B15" s="287" t="s">
        <v>214</v>
      </c>
      <c r="C15" s="287"/>
      <c r="D15" s="146"/>
      <c r="E15" s="288"/>
      <c r="F15" s="289" t="n">
        <f aca="false">'H - ONERI VERDI'!C7</f>
        <v>56.6928</v>
      </c>
      <c r="G15" s="290" t="n">
        <f aca="false">D15*F15</f>
        <v>0</v>
      </c>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285"/>
      <c r="AJ15" s="285"/>
      <c r="AK15" s="285"/>
      <c r="AL15" s="285"/>
    </row>
    <row r="16" customFormat="false" ht="13.2" hidden="false" customHeight="true" outlineLevel="0" collapsed="false">
      <c r="A16" s="291"/>
      <c r="B16" s="230"/>
      <c r="C16" s="142"/>
      <c r="D16" s="54"/>
      <c r="E16" s="54"/>
      <c r="F16" s="292"/>
      <c r="G16" s="293"/>
      <c r="H16" s="87"/>
      <c r="I16" s="87"/>
      <c r="J16" s="294"/>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285"/>
      <c r="AJ16" s="285"/>
      <c r="AK16" s="285"/>
      <c r="AL16" s="285"/>
    </row>
    <row r="17" customFormat="false" ht="25.35" hidden="false" customHeight="true" outlineLevel="0" collapsed="false">
      <c r="A17" s="286" t="n">
        <v>3</v>
      </c>
      <c r="B17" s="287" t="s">
        <v>215</v>
      </c>
      <c r="C17" s="287"/>
      <c r="D17" s="146"/>
      <c r="E17" s="288"/>
      <c r="F17" s="289" t="n">
        <f aca="false">'H - ONERI VERDI'!C10</f>
        <v>60.4152</v>
      </c>
      <c r="G17" s="290" t="n">
        <f aca="false">D17*F17</f>
        <v>0</v>
      </c>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285"/>
      <c r="AJ17" s="285"/>
      <c r="AK17" s="285"/>
      <c r="AL17" s="285"/>
    </row>
    <row r="18" s="1" customFormat="true" ht="13.2" hidden="false" customHeight="true" outlineLevel="0" collapsed="false">
      <c r="A18" s="295"/>
      <c r="B18" s="230"/>
      <c r="C18" s="142"/>
      <c r="G18" s="296"/>
      <c r="H18" s="87"/>
      <c r="I18" s="87"/>
      <c r="J18" s="87"/>
      <c r="K18" s="87"/>
      <c r="L18" s="87"/>
      <c r="M18" s="297"/>
      <c r="N18" s="87"/>
      <c r="O18" s="87"/>
      <c r="P18" s="87"/>
      <c r="Q18" s="87"/>
      <c r="R18" s="87"/>
      <c r="S18" s="87"/>
      <c r="T18" s="87"/>
      <c r="U18" s="87"/>
      <c r="V18" s="87"/>
      <c r="W18" s="87"/>
      <c r="X18" s="87"/>
      <c r="Y18" s="87"/>
      <c r="Z18" s="87"/>
      <c r="AA18" s="87"/>
      <c r="AB18" s="87"/>
      <c r="AC18" s="87"/>
      <c r="AD18" s="87"/>
      <c r="AE18" s="87"/>
      <c r="AF18" s="87"/>
      <c r="AG18" s="87"/>
      <c r="AH18" s="87"/>
      <c r="AI18" s="285"/>
      <c r="AJ18" s="285"/>
      <c r="AK18" s="285"/>
      <c r="AL18" s="285"/>
    </row>
    <row r="19" customFormat="false" ht="6" hidden="false" customHeight="true" outlineLevel="0" collapsed="false">
      <c r="A19" s="205"/>
      <c r="B19" s="87"/>
      <c r="C19" s="101"/>
      <c r="D19" s="87"/>
      <c r="E19" s="102"/>
      <c r="F19" s="102"/>
      <c r="G19" s="102"/>
      <c r="H19" s="102"/>
      <c r="I19" s="103"/>
      <c r="M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c r="CF19" s="88"/>
      <c r="CG19" s="88"/>
      <c r="CH19" s="88"/>
      <c r="CI19" s="88"/>
      <c r="CJ19" s="88"/>
      <c r="CK19" s="88"/>
      <c r="CL19" s="88"/>
      <c r="CM19" s="88"/>
      <c r="CN19" s="88"/>
      <c r="CO19" s="88"/>
      <c r="CP19" s="88"/>
      <c r="CQ19" s="88"/>
      <c r="CR19" s="88"/>
      <c r="CS19" s="88"/>
      <c r="CT19" s="88"/>
      <c r="CU19" s="88"/>
      <c r="CV19" s="88"/>
      <c r="CW19" s="88"/>
      <c r="CX19" s="88"/>
      <c r="CY19" s="88"/>
      <c r="CZ19" s="88"/>
      <c r="DA19" s="88"/>
      <c r="DB19" s="88"/>
    </row>
    <row r="20" s="112" customFormat="true" ht="18" hidden="false" customHeight="true" outlineLevel="0" collapsed="false">
      <c r="A20" s="298" t="s">
        <v>216</v>
      </c>
      <c r="B20" s="298"/>
      <c r="C20" s="298"/>
      <c r="D20" s="298"/>
      <c r="E20" s="298"/>
      <c r="F20" s="298"/>
      <c r="G20" s="298"/>
      <c r="H20" s="298"/>
      <c r="I20" s="298"/>
      <c r="J20" s="110"/>
      <c r="K20" s="110"/>
      <c r="L20" s="110"/>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c r="BK20" s="111"/>
      <c r="BL20" s="111"/>
      <c r="BM20" s="111"/>
      <c r="BN20" s="111"/>
      <c r="BO20" s="111"/>
      <c r="BP20" s="111"/>
      <c r="BQ20" s="111"/>
      <c r="BR20" s="111"/>
      <c r="BS20" s="111"/>
      <c r="BT20" s="111"/>
      <c r="BU20" s="111"/>
      <c r="BV20" s="111"/>
      <c r="BW20" s="111"/>
      <c r="BX20" s="111"/>
      <c r="BY20" s="111"/>
      <c r="BZ20" s="111"/>
      <c r="CA20" s="111"/>
      <c r="CB20" s="111"/>
      <c r="CC20" s="111"/>
      <c r="CD20" s="111"/>
      <c r="CE20" s="111"/>
      <c r="CF20" s="111"/>
      <c r="CG20" s="111"/>
      <c r="CH20" s="111"/>
      <c r="CI20" s="111"/>
      <c r="CJ20" s="111"/>
      <c r="CK20" s="111"/>
      <c r="CL20" s="111"/>
      <c r="CM20" s="111"/>
      <c r="CN20" s="111"/>
      <c r="CO20" s="111"/>
      <c r="CP20" s="111"/>
      <c r="CQ20" s="111"/>
      <c r="CR20" s="111"/>
      <c r="CS20" s="111"/>
      <c r="CT20" s="111"/>
      <c r="CU20" s="111"/>
      <c r="CV20" s="111"/>
      <c r="CW20" s="111"/>
      <c r="CX20" s="111"/>
      <c r="CY20" s="111"/>
      <c r="CZ20" s="111"/>
      <c r="DA20" s="111"/>
      <c r="DB20" s="111"/>
    </row>
    <row r="21" s="111" customFormat="true" ht="6" hidden="false" customHeight="true" outlineLevel="0" collapsed="false">
      <c r="A21" s="107"/>
      <c r="B21" s="107"/>
      <c r="C21" s="281"/>
      <c r="D21" s="107"/>
      <c r="E21" s="107"/>
      <c r="F21" s="107"/>
      <c r="G21" s="107"/>
      <c r="H21" s="107"/>
      <c r="I21" s="282"/>
      <c r="J21" s="114"/>
      <c r="K21" s="110"/>
      <c r="L21" s="110"/>
      <c r="M21" s="110"/>
    </row>
    <row r="22" s="129" customFormat="true" ht="26.25" hidden="false" customHeight="true" outlineLevel="0" collapsed="false">
      <c r="A22" s="263" t="s">
        <v>163</v>
      </c>
      <c r="B22" s="263"/>
      <c r="C22" s="263"/>
      <c r="D22" s="264" t="s">
        <v>164</v>
      </c>
      <c r="E22" s="272"/>
      <c r="F22" s="265" t="s">
        <v>165</v>
      </c>
      <c r="G22" s="273" t="s">
        <v>166</v>
      </c>
      <c r="H22" s="87"/>
      <c r="I22" s="87"/>
      <c r="J22" s="130"/>
      <c r="K22" s="130"/>
      <c r="L22" s="130"/>
      <c r="M22" s="131"/>
      <c r="N22" s="131"/>
      <c r="O22" s="131"/>
      <c r="P22" s="131"/>
      <c r="Q22" s="131"/>
      <c r="R22" s="131"/>
      <c r="S22" s="131"/>
      <c r="T22" s="131"/>
      <c r="U22" s="131"/>
      <c r="V22" s="131"/>
      <c r="W22" s="131"/>
      <c r="X22" s="131"/>
      <c r="Y22" s="131"/>
      <c r="Z22" s="131"/>
      <c r="AA22" s="131"/>
      <c r="AB22" s="131"/>
      <c r="AC22" s="131"/>
      <c r="AD22" s="131"/>
      <c r="AE22" s="131"/>
      <c r="AF22" s="131"/>
      <c r="AG22" s="131"/>
      <c r="AH22" s="131"/>
    </row>
    <row r="23" s="138" customFormat="true" ht="9.9" hidden="false" customHeight="true" outlineLevel="0" collapsed="false">
      <c r="A23" s="267"/>
      <c r="B23" s="283"/>
      <c r="C23" s="268"/>
      <c r="D23" s="134" t="s">
        <v>167</v>
      </c>
      <c r="E23" s="274"/>
      <c r="F23" s="136" t="s">
        <v>212</v>
      </c>
      <c r="G23" s="137" t="s">
        <v>169</v>
      </c>
      <c r="H23" s="87"/>
      <c r="I23" s="87"/>
      <c r="J23" s="139"/>
      <c r="K23" s="139"/>
      <c r="L23" s="139"/>
      <c r="M23" s="140"/>
      <c r="N23" s="140"/>
      <c r="O23" s="140"/>
      <c r="P23" s="140"/>
      <c r="Q23" s="140"/>
      <c r="R23" s="140"/>
      <c r="S23" s="140"/>
      <c r="T23" s="140"/>
      <c r="U23" s="140"/>
      <c r="V23" s="140"/>
      <c r="W23" s="140"/>
      <c r="X23" s="140"/>
      <c r="Y23" s="140"/>
      <c r="Z23" s="140"/>
      <c r="AA23" s="140"/>
      <c r="AB23" s="140"/>
      <c r="AC23" s="140"/>
      <c r="AD23" s="140"/>
      <c r="AE23" s="140"/>
      <c r="AF23" s="140"/>
      <c r="AG23" s="140"/>
      <c r="AH23" s="140"/>
    </row>
    <row r="24" customFormat="false" ht="14.25" hidden="false" customHeight="true" outlineLevel="0" collapsed="false">
      <c r="A24" s="141"/>
      <c r="B24" s="284"/>
      <c r="C24" s="142"/>
      <c r="D24" s="143"/>
      <c r="E24" s="142"/>
      <c r="F24" s="143"/>
      <c r="G24" s="143"/>
      <c r="H24" s="219"/>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285"/>
      <c r="AJ24" s="285"/>
      <c r="AK24" s="285"/>
      <c r="AL24" s="285"/>
    </row>
    <row r="25" s="1" customFormat="true" ht="37.5" hidden="false" customHeight="true" outlineLevel="0" collapsed="false">
      <c r="A25" s="286" t="n">
        <v>1</v>
      </c>
      <c r="B25" s="287" t="s">
        <v>217</v>
      </c>
      <c r="C25" s="287"/>
      <c r="D25" s="146"/>
      <c r="E25" s="288"/>
      <c r="F25" s="289" t="n">
        <f aca="false">'H - ONERI VERDI'!C5</f>
        <v>12.36472</v>
      </c>
      <c r="G25" s="290" t="n">
        <f aca="false">D25*F25</f>
        <v>0</v>
      </c>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285"/>
      <c r="AJ25" s="285"/>
      <c r="AK25" s="285"/>
      <c r="AL25" s="285"/>
    </row>
    <row r="26" s="1" customFormat="true" ht="13.2" hidden="false" customHeight="true" outlineLevel="0" collapsed="false">
      <c r="A26" s="167"/>
      <c r="B26" s="230"/>
      <c r="C26" s="142"/>
      <c r="D26" s="54"/>
      <c r="E26" s="54"/>
      <c r="F26" s="299"/>
      <c r="G26" s="300"/>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285"/>
      <c r="AJ26" s="285"/>
      <c r="AK26" s="285"/>
      <c r="AL26" s="285"/>
    </row>
    <row r="27" s="1" customFormat="true" ht="48.45" hidden="false" customHeight="true" outlineLevel="0" collapsed="false">
      <c r="A27" s="286" t="n">
        <v>2</v>
      </c>
      <c r="B27" s="287" t="s">
        <v>214</v>
      </c>
      <c r="C27" s="287"/>
      <c r="D27" s="146"/>
      <c r="E27" s="288"/>
      <c r="F27" s="289" t="n">
        <f aca="false">'H - ONERI VERDI'!C8</f>
        <v>29.14904</v>
      </c>
      <c r="G27" s="290" t="n">
        <f aca="false">D27*F27</f>
        <v>0</v>
      </c>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285"/>
      <c r="AJ27" s="285"/>
      <c r="AK27" s="285"/>
      <c r="AL27" s="285"/>
    </row>
    <row r="28" customFormat="false" ht="13.2" hidden="false" customHeight="true" outlineLevel="0" collapsed="false">
      <c r="A28" s="167"/>
      <c r="B28" s="230"/>
      <c r="C28" s="142"/>
      <c r="D28" s="54"/>
      <c r="E28" s="54"/>
      <c r="F28" s="299"/>
      <c r="G28" s="300"/>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285"/>
      <c r="AJ28" s="285"/>
      <c r="AK28" s="285"/>
      <c r="AL28" s="285"/>
    </row>
    <row r="29" customFormat="false" ht="25.95" hidden="false" customHeight="true" outlineLevel="0" collapsed="false">
      <c r="A29" s="286" t="n">
        <v>3</v>
      </c>
      <c r="B29" s="287" t="s">
        <v>215</v>
      </c>
      <c r="C29" s="287"/>
      <c r="D29" s="146"/>
      <c r="E29" s="288"/>
      <c r="F29" s="289" t="n">
        <f aca="false">'H - ONERI VERDI'!C11</f>
        <v>31.05</v>
      </c>
      <c r="G29" s="290" t="n">
        <f aca="false">D29*F29</f>
        <v>0</v>
      </c>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285"/>
      <c r="AJ29" s="285"/>
      <c r="AK29" s="285"/>
      <c r="AL29" s="285"/>
    </row>
    <row r="30" s="1" customFormat="true" ht="13.2" hidden="false" customHeight="true" outlineLevel="0" collapsed="false">
      <c r="A30" s="295"/>
      <c r="B30" s="230"/>
      <c r="C30" s="142"/>
      <c r="G30" s="296"/>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285"/>
      <c r="AJ30" s="285"/>
      <c r="AK30" s="285"/>
      <c r="AL30" s="285"/>
    </row>
    <row r="31" customFormat="false" ht="6" hidden="false" customHeight="true" outlineLevel="0" collapsed="false">
      <c r="A31" s="295"/>
      <c r="B31" s="230"/>
      <c r="C31" s="142"/>
      <c r="D31" s="153"/>
      <c r="E31" s="150"/>
      <c r="F31" s="154"/>
      <c r="G31" s="159"/>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285"/>
      <c r="AJ31" s="285"/>
      <c r="AK31" s="285"/>
      <c r="AL31" s="285"/>
    </row>
    <row r="32" customFormat="false" ht="13.8" hidden="false" customHeight="true" outlineLevel="0" collapsed="false">
      <c r="A32" s="295"/>
      <c r="B32" s="295"/>
      <c r="C32" s="142"/>
      <c r="D32" s="301" t="s">
        <v>185</v>
      </c>
      <c r="E32" s="198"/>
      <c r="F32" s="302"/>
      <c r="G32" s="195" t="n">
        <f aca="false">G29+G25+G17+G13+G15+G27</f>
        <v>0</v>
      </c>
      <c r="H32" s="87"/>
      <c r="I32" s="87"/>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c r="BT32" s="88"/>
      <c r="BU32" s="88"/>
      <c r="BV32" s="88"/>
      <c r="BW32" s="88"/>
      <c r="BX32" s="88"/>
      <c r="BY32" s="88"/>
      <c r="BZ32" s="88"/>
      <c r="CA32" s="88"/>
      <c r="CB32" s="88"/>
      <c r="CC32" s="88"/>
      <c r="CD32" s="88"/>
      <c r="CE32" s="88"/>
      <c r="CF32" s="88"/>
      <c r="CG32" s="88"/>
      <c r="CH32" s="88"/>
      <c r="CI32" s="88"/>
      <c r="CJ32" s="88"/>
      <c r="CK32" s="88"/>
      <c r="CL32" s="88"/>
      <c r="CM32" s="88"/>
      <c r="CN32" s="88"/>
      <c r="CO32" s="88"/>
      <c r="CP32" s="88"/>
      <c r="CQ32" s="88"/>
      <c r="CR32" s="88"/>
      <c r="CS32" s="88"/>
      <c r="CT32" s="88"/>
      <c r="CU32" s="88"/>
      <c r="CV32" s="88"/>
      <c r="CW32" s="88"/>
      <c r="CX32" s="88"/>
      <c r="CY32" s="88"/>
      <c r="CZ32" s="88"/>
      <c r="DA32" s="88"/>
      <c r="DB32" s="88"/>
      <c r="DC32" s="88"/>
      <c r="DD32" s="88"/>
      <c r="DE32" s="88"/>
      <c r="DF32" s="88"/>
      <c r="DG32" s="88"/>
      <c r="DH32" s="88"/>
      <c r="DI32" s="88"/>
      <c r="DJ32" s="88"/>
      <c r="DK32" s="88"/>
      <c r="DL32" s="88"/>
      <c r="DM32" s="88"/>
      <c r="DN32" s="88"/>
    </row>
    <row r="33" customFormat="false" ht="6" hidden="false" customHeight="true" outlineLevel="0" collapsed="false">
      <c r="A33" s="205"/>
      <c r="B33" s="87"/>
      <c r="C33" s="101"/>
      <c r="D33" s="87"/>
      <c r="E33" s="102"/>
      <c r="F33" s="102"/>
      <c r="G33" s="102"/>
      <c r="H33" s="102"/>
      <c r="I33" s="103"/>
      <c r="M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c r="BT33" s="88"/>
      <c r="BU33" s="88"/>
      <c r="BV33" s="88"/>
      <c r="BW33" s="88"/>
      <c r="BX33" s="88"/>
      <c r="BY33" s="88"/>
      <c r="BZ33" s="88"/>
      <c r="CA33" s="88"/>
      <c r="CB33" s="88"/>
      <c r="CC33" s="88"/>
      <c r="CD33" s="88"/>
      <c r="CE33" s="88"/>
      <c r="CF33" s="88"/>
      <c r="CG33" s="88"/>
      <c r="CH33" s="88"/>
      <c r="CI33" s="88"/>
      <c r="CJ33" s="88"/>
      <c r="CK33" s="88"/>
      <c r="CL33" s="88"/>
      <c r="CM33" s="88"/>
      <c r="CN33" s="88"/>
      <c r="CO33" s="88"/>
      <c r="CP33" s="88"/>
      <c r="CQ33" s="88"/>
      <c r="CR33" s="88"/>
      <c r="CS33" s="88"/>
      <c r="CT33" s="88"/>
      <c r="CU33" s="88"/>
      <c r="CV33" s="88"/>
      <c r="CW33" s="88"/>
      <c r="CX33" s="88"/>
      <c r="CY33" s="88"/>
      <c r="CZ33" s="88"/>
      <c r="DA33" s="88"/>
      <c r="DB33" s="88"/>
    </row>
    <row r="34" customFormat="false" ht="6" hidden="false" customHeight="true" outlineLevel="0" collapsed="false"/>
  </sheetData>
  <sheetProtection sheet="true" objects="true" scenarios="true"/>
  <mergeCells count="19">
    <mergeCell ref="A1:I1"/>
    <mergeCell ref="A2:I2"/>
    <mergeCell ref="A3:I3"/>
    <mergeCell ref="A4:I4"/>
    <mergeCell ref="A5:I5"/>
    <mergeCell ref="A6:B6"/>
    <mergeCell ref="C6:D6"/>
    <mergeCell ref="F6:G6"/>
    <mergeCell ref="H6:I6"/>
    <mergeCell ref="A8:I8"/>
    <mergeCell ref="A10:C10"/>
    <mergeCell ref="B13:C13"/>
    <mergeCell ref="B15:C15"/>
    <mergeCell ref="B17:C17"/>
    <mergeCell ref="A20:I20"/>
    <mergeCell ref="A22:C22"/>
    <mergeCell ref="B25:C25"/>
    <mergeCell ref="B27:C27"/>
    <mergeCell ref="B29:C29"/>
  </mergeCells>
  <printOptions headings="false" gridLines="false" gridLinesSet="true" horizontalCentered="true" verticalCentered="true"/>
  <pageMargins left="0.747916666666667" right="0.747916666666667" top="0.984027777777778" bottom="0.708333333333333" header="0.511811023622047" footer="0.511811023622047"/>
  <pageSetup paperSize="8" scale="9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N16"/>
  <sheetViews>
    <sheetView showFormulas="false" showGridLines="true" showRowColHeaders="true" showZeros="true" rightToLeft="false" tabSelected="false" showOutlineSymbols="true" defaultGridColor="true" view="normal" topLeftCell="A1" colorId="64" zoomScale="150" zoomScaleNormal="150" zoomScalePageLayoutView="100" workbookViewId="0">
      <selection pane="topLeft" activeCell="F11" activeCellId="0" sqref="F11"/>
    </sheetView>
  </sheetViews>
  <sheetFormatPr defaultColWidth="8.5078125" defaultRowHeight="13.8" zeroHeight="false" outlineLevelRow="0" outlineLevelCol="0"/>
  <cols>
    <col collapsed="false" customWidth="true" hidden="false" outlineLevel="0" max="2" min="1" style="200" width="3.29"/>
    <col collapsed="false" customWidth="true" hidden="false" outlineLevel="0" max="3" min="3" style="103" width="34.51"/>
    <col collapsed="false" customWidth="true" hidden="false" outlineLevel="0" max="4" min="4" style="201" width="9.29"/>
    <col collapsed="false" customWidth="true" hidden="true" outlineLevel="0" max="5" min="5" style="103" width="7.62"/>
    <col collapsed="false" customWidth="true" hidden="false" outlineLevel="0" max="6" min="6" style="202" width="7.29"/>
    <col collapsed="false" customWidth="true" hidden="false" outlineLevel="0" max="7" min="7" style="202" width="9.29"/>
    <col collapsed="false" customWidth="true" hidden="false" outlineLevel="0" max="8" min="8" style="202" width="6.29"/>
    <col collapsed="false" customWidth="true" hidden="false" outlineLevel="0" max="9" min="9" style="202" width="9.29"/>
    <col collapsed="false" customWidth="false" hidden="false" outlineLevel="0" max="13" min="10" style="103" width="8.49"/>
    <col collapsed="false" customWidth="false" hidden="false" outlineLevel="0" max="34" min="14" style="88" width="8.49"/>
    <col collapsed="false" customWidth="false" hidden="false" outlineLevel="0" max="257" min="35" style="1" width="8.49"/>
  </cols>
  <sheetData>
    <row r="1" customFormat="false" ht="13.8" hidden="false" customHeight="true" outlineLevel="0" collapsed="false">
      <c r="A1" s="303"/>
      <c r="B1" s="304" t="s">
        <v>159</v>
      </c>
      <c r="C1" s="304"/>
      <c r="D1" s="304"/>
      <c r="E1" s="304"/>
      <c r="F1" s="304"/>
      <c r="G1" s="304"/>
      <c r="H1" s="304"/>
      <c r="I1" s="304"/>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row>
    <row r="2" customFormat="false" ht="16.95" hidden="false" customHeight="true" outlineLevel="0" collapsed="false">
      <c r="A2" s="276" t="s">
        <v>160</v>
      </c>
      <c r="B2" s="276"/>
      <c r="C2" s="276"/>
      <c r="D2" s="276"/>
      <c r="E2" s="276"/>
      <c r="F2" s="276"/>
      <c r="G2" s="276"/>
      <c r="H2" s="276"/>
      <c r="I2" s="276"/>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8"/>
      <c r="DE2" s="88"/>
      <c r="DF2" s="88"/>
      <c r="DG2" s="88"/>
      <c r="DH2" s="88"/>
      <c r="DI2" s="88"/>
      <c r="DJ2" s="88"/>
      <c r="DK2" s="88"/>
      <c r="DL2" s="88"/>
      <c r="DM2" s="88"/>
      <c r="DN2" s="88"/>
    </row>
    <row r="3" customFormat="false" ht="6" hidden="false" customHeight="true" outlineLevel="0" collapsed="false">
      <c r="A3" s="305"/>
      <c r="B3" s="305"/>
      <c r="C3" s="305"/>
      <c r="D3" s="305"/>
      <c r="E3" s="305"/>
      <c r="F3" s="305"/>
      <c r="G3" s="305"/>
      <c r="H3" s="305"/>
      <c r="I3" s="305"/>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c r="DJ3" s="88"/>
      <c r="DK3" s="88"/>
      <c r="DL3" s="88"/>
      <c r="DM3" s="88"/>
      <c r="DN3" s="88"/>
    </row>
    <row r="4" customFormat="false" ht="16.95" hidden="false" customHeight="true" outlineLevel="0" collapsed="false">
      <c r="A4" s="306" t="s">
        <v>218</v>
      </c>
      <c r="B4" s="306"/>
      <c r="C4" s="306"/>
      <c r="D4" s="306"/>
      <c r="E4" s="306"/>
      <c r="F4" s="306"/>
      <c r="G4" s="306"/>
      <c r="H4" s="306"/>
      <c r="I4" s="306"/>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row>
    <row r="5" s="112" customFormat="true" ht="16.95" hidden="false" customHeight="true" outlineLevel="0" collapsed="false">
      <c r="A5" s="114"/>
      <c r="B5" s="114"/>
      <c r="C5" s="114"/>
      <c r="D5" s="114"/>
      <c r="E5" s="114"/>
      <c r="F5" s="114"/>
      <c r="G5" s="114"/>
      <c r="H5" s="114"/>
      <c r="I5" s="114"/>
      <c r="J5" s="110"/>
      <c r="K5" s="110"/>
      <c r="L5" s="110"/>
      <c r="M5" s="110"/>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c r="CK5" s="111"/>
      <c r="CL5" s="111"/>
      <c r="CM5" s="111"/>
      <c r="CN5" s="111"/>
      <c r="CO5" s="111"/>
      <c r="CP5" s="111"/>
      <c r="CQ5" s="111"/>
      <c r="CR5" s="111"/>
      <c r="CS5" s="111"/>
      <c r="CT5" s="111"/>
      <c r="CU5" s="111"/>
      <c r="CV5" s="111"/>
      <c r="CW5" s="111"/>
      <c r="CX5" s="111"/>
      <c r="CY5" s="111"/>
      <c r="CZ5" s="111"/>
      <c r="DA5" s="111"/>
      <c r="DB5" s="111"/>
      <c r="DC5" s="111"/>
      <c r="DD5" s="111"/>
      <c r="DE5" s="111"/>
      <c r="DF5" s="111"/>
      <c r="DG5" s="111"/>
      <c r="DH5" s="111"/>
      <c r="DI5" s="111"/>
      <c r="DJ5" s="111"/>
      <c r="DK5" s="111"/>
      <c r="DL5" s="111"/>
      <c r="DM5" s="111"/>
      <c r="DN5" s="111"/>
    </row>
    <row r="6" s="112" customFormat="true" ht="18" hidden="false" customHeight="true" outlineLevel="0" collapsed="false">
      <c r="A6" s="208" t="s">
        <v>161</v>
      </c>
      <c r="B6" s="208"/>
      <c r="C6" s="248"/>
      <c r="D6" s="248"/>
      <c r="E6" s="210"/>
      <c r="F6" s="107" t="s">
        <v>162</v>
      </c>
      <c r="G6" s="107"/>
      <c r="H6" s="249"/>
      <c r="I6" s="249"/>
      <c r="J6" s="114"/>
      <c r="K6" s="110"/>
      <c r="L6" s="110"/>
      <c r="M6" s="110"/>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c r="CK6" s="111"/>
      <c r="CL6" s="111"/>
      <c r="CM6" s="111"/>
      <c r="CN6" s="111"/>
      <c r="CO6" s="111"/>
      <c r="CP6" s="111"/>
      <c r="CQ6" s="111"/>
      <c r="CR6" s="111"/>
      <c r="CS6" s="111"/>
      <c r="CT6" s="111"/>
      <c r="CU6" s="111"/>
      <c r="CV6" s="111"/>
      <c r="CW6" s="111"/>
      <c r="CX6" s="111"/>
      <c r="CY6" s="111"/>
      <c r="CZ6" s="111"/>
      <c r="DA6" s="111"/>
      <c r="DB6" s="111"/>
      <c r="DC6" s="111"/>
      <c r="DD6" s="111"/>
      <c r="DE6" s="111"/>
      <c r="DF6" s="111"/>
      <c r="DG6" s="111"/>
      <c r="DH6" s="111"/>
      <c r="DI6" s="111"/>
      <c r="DJ6" s="111"/>
      <c r="DK6" s="111"/>
      <c r="DL6" s="111"/>
      <c r="DM6" s="111"/>
      <c r="DN6" s="111"/>
    </row>
    <row r="7" customFormat="false" ht="6" hidden="false" customHeight="true" outlineLevel="0" collapsed="false">
      <c r="A7" s="205"/>
      <c r="B7" s="87"/>
      <c r="C7" s="101"/>
      <c r="D7" s="87"/>
      <c r="E7" s="102"/>
      <c r="F7" s="102"/>
      <c r="G7" s="102"/>
      <c r="H7" s="102"/>
      <c r="I7" s="307"/>
      <c r="M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8"/>
      <c r="CK7" s="88"/>
      <c r="CL7" s="88"/>
      <c r="CM7" s="88"/>
      <c r="CN7" s="88"/>
      <c r="CO7" s="88"/>
      <c r="CP7" s="88"/>
      <c r="CQ7" s="88"/>
      <c r="CR7" s="88"/>
      <c r="CS7" s="88"/>
      <c r="CT7" s="88"/>
      <c r="CU7" s="88"/>
      <c r="CV7" s="88"/>
      <c r="CW7" s="88"/>
      <c r="CX7" s="88"/>
      <c r="CY7" s="88"/>
      <c r="CZ7" s="88"/>
      <c r="DA7" s="88"/>
      <c r="DB7" s="88"/>
    </row>
    <row r="8" s="129" customFormat="true" ht="26.25" hidden="false" customHeight="true" outlineLevel="0" collapsed="false">
      <c r="A8" s="308" t="s">
        <v>100</v>
      </c>
      <c r="B8" s="308"/>
      <c r="C8" s="308"/>
      <c r="D8" s="264" t="s">
        <v>204</v>
      </c>
      <c r="E8" s="272"/>
      <c r="F8" s="265" t="s">
        <v>165</v>
      </c>
      <c r="G8" s="273" t="s">
        <v>166</v>
      </c>
      <c r="H8" s="87"/>
      <c r="I8" s="87"/>
      <c r="J8" s="130"/>
      <c r="K8" s="130"/>
      <c r="L8" s="130"/>
      <c r="M8" s="131"/>
      <c r="N8" s="131"/>
      <c r="O8" s="131"/>
      <c r="P8" s="131"/>
      <c r="Q8" s="131"/>
      <c r="R8" s="131"/>
      <c r="S8" s="131"/>
      <c r="T8" s="131"/>
      <c r="U8" s="131"/>
      <c r="V8" s="131"/>
      <c r="W8" s="131"/>
      <c r="X8" s="131"/>
      <c r="Y8" s="131"/>
      <c r="Z8" s="131"/>
      <c r="AA8" s="131"/>
      <c r="AB8" s="131"/>
      <c r="AC8" s="131"/>
      <c r="AD8" s="131"/>
      <c r="AE8" s="131"/>
      <c r="AF8" s="131"/>
      <c r="AG8" s="131"/>
      <c r="AH8" s="131"/>
    </row>
    <row r="9" s="138" customFormat="true" ht="9.9" hidden="false" customHeight="true" outlineLevel="0" collapsed="false">
      <c r="A9" s="308"/>
      <c r="B9" s="308"/>
      <c r="C9" s="308"/>
      <c r="D9" s="134" t="s">
        <v>205</v>
      </c>
      <c r="E9" s="274"/>
      <c r="F9" s="136" t="s">
        <v>206</v>
      </c>
      <c r="G9" s="137" t="s">
        <v>169</v>
      </c>
      <c r="H9" s="87"/>
      <c r="I9" s="87"/>
      <c r="J9" s="139"/>
      <c r="K9" s="139"/>
      <c r="L9" s="139"/>
      <c r="M9" s="140"/>
      <c r="N9" s="140"/>
      <c r="O9" s="140"/>
      <c r="P9" s="140"/>
      <c r="Q9" s="140"/>
      <c r="R9" s="140"/>
      <c r="S9" s="140"/>
      <c r="T9" s="140"/>
      <c r="U9" s="140"/>
      <c r="V9" s="140"/>
      <c r="W9" s="140"/>
      <c r="X9" s="140"/>
      <c r="Y9" s="140"/>
      <c r="Z9" s="140"/>
      <c r="AA9" s="140"/>
      <c r="AB9" s="140"/>
      <c r="AC9" s="140"/>
      <c r="AD9" s="140"/>
      <c r="AE9" s="140"/>
      <c r="AF9" s="140"/>
      <c r="AG9" s="140"/>
      <c r="AH9" s="140"/>
    </row>
    <row r="10" customFormat="false" ht="14.25" hidden="false" customHeight="true" outlineLevel="0" collapsed="false">
      <c r="A10" s="141"/>
      <c r="B10" s="284"/>
      <c r="C10" s="142"/>
      <c r="D10" s="143"/>
      <c r="E10" s="142"/>
      <c r="F10" s="143"/>
      <c r="G10" s="143"/>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285"/>
      <c r="AJ10" s="285"/>
      <c r="AK10" s="285"/>
      <c r="AL10" s="285"/>
    </row>
    <row r="11" s="1" customFormat="true" ht="14.1" hidden="false" customHeight="true" outlineLevel="0" collapsed="false">
      <c r="A11" s="309"/>
      <c r="B11" s="310" t="s">
        <v>219</v>
      </c>
      <c r="C11" s="311"/>
      <c r="D11" s="146"/>
      <c r="E11" s="288"/>
      <c r="F11" s="148" t="n">
        <f aca="false">'H - ONERI VERDI'!C13</f>
        <v>11.508</v>
      </c>
      <c r="G11" s="312" t="n">
        <f aca="false">D11*F11</f>
        <v>0</v>
      </c>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285"/>
      <c r="AJ11" s="285"/>
      <c r="AK11" s="285"/>
      <c r="AL11" s="285"/>
    </row>
    <row r="12" customFormat="false" ht="13.2" hidden="false" customHeight="true" outlineLevel="0" collapsed="false">
      <c r="A12" s="167"/>
      <c r="B12" s="230"/>
      <c r="C12" s="142"/>
      <c r="D12" s="54"/>
      <c r="E12" s="54"/>
      <c r="F12" s="54"/>
      <c r="G12" s="300"/>
      <c r="H12" s="87"/>
      <c r="I12" s="87"/>
      <c r="J12" s="294"/>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285"/>
      <c r="AJ12" s="285"/>
      <c r="AK12" s="285"/>
      <c r="AL12" s="285"/>
    </row>
    <row r="13" customFormat="false" ht="6" hidden="false" customHeight="true" outlineLevel="0" collapsed="false">
      <c r="A13" s="167"/>
      <c r="B13" s="230"/>
      <c r="C13" s="142"/>
      <c r="D13" s="153"/>
      <c r="E13" s="150"/>
      <c r="F13" s="154"/>
      <c r="G13" s="159"/>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285"/>
      <c r="AJ13" s="285"/>
      <c r="AK13" s="285"/>
      <c r="AL13" s="285"/>
    </row>
    <row r="14" customFormat="false" ht="14.1" hidden="false" customHeight="true" outlineLevel="0" collapsed="false">
      <c r="A14" s="313"/>
      <c r="B14" s="314" t="s">
        <v>220</v>
      </c>
      <c r="C14" s="314"/>
      <c r="D14" s="146"/>
      <c r="E14" s="288"/>
      <c r="F14" s="148" t="n">
        <f aca="false">'H - ONERI VERDI'!C14</f>
        <v>10.548</v>
      </c>
      <c r="G14" s="312" t="n">
        <f aca="false">D14*F14</f>
        <v>0</v>
      </c>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285"/>
      <c r="AJ14" s="285"/>
      <c r="AK14" s="285"/>
      <c r="AL14" s="285"/>
    </row>
    <row r="15" s="1" customFormat="true" ht="13.2" hidden="false" customHeight="true" outlineLevel="0" collapsed="false">
      <c r="A15" s="295"/>
      <c r="B15" s="230"/>
      <c r="C15" s="142"/>
      <c r="G15" s="296"/>
      <c r="H15" s="87"/>
      <c r="I15" s="87"/>
      <c r="J15" s="87"/>
      <c r="K15" s="87"/>
      <c r="L15" s="87"/>
      <c r="M15" s="297"/>
      <c r="N15" s="87"/>
      <c r="O15" s="87"/>
      <c r="P15" s="87"/>
      <c r="Q15" s="87"/>
      <c r="R15" s="87"/>
      <c r="S15" s="87"/>
      <c r="T15" s="87"/>
      <c r="U15" s="87"/>
      <c r="V15" s="87"/>
      <c r="W15" s="87"/>
      <c r="X15" s="87"/>
      <c r="Y15" s="87"/>
      <c r="Z15" s="87"/>
      <c r="AA15" s="87"/>
      <c r="AB15" s="87"/>
      <c r="AC15" s="87"/>
      <c r="AD15" s="87"/>
      <c r="AE15" s="87"/>
      <c r="AF15" s="87"/>
      <c r="AG15" s="87"/>
      <c r="AH15" s="87"/>
      <c r="AI15" s="285"/>
      <c r="AJ15" s="285"/>
      <c r="AK15" s="285"/>
      <c r="AL15" s="285"/>
    </row>
    <row r="16" customFormat="false" ht="13.8" hidden="false" customHeight="true" outlineLevel="0" collapsed="false">
      <c r="A16" s="295"/>
      <c r="B16" s="295"/>
      <c r="C16" s="142"/>
      <c r="D16" s="301" t="s">
        <v>185</v>
      </c>
      <c r="E16" s="198"/>
      <c r="F16" s="302"/>
      <c r="G16" s="195" t="n">
        <f aca="false">G11+G14</f>
        <v>0</v>
      </c>
      <c r="H16" s="87"/>
      <c r="I16" s="87"/>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row>
  </sheetData>
  <sheetProtection sheet="true" objects="true" scenarios="true"/>
  <mergeCells count="10">
    <mergeCell ref="B1:I1"/>
    <mergeCell ref="A2:I2"/>
    <mergeCell ref="A3:I3"/>
    <mergeCell ref="A4:I4"/>
    <mergeCell ref="A6:B6"/>
    <mergeCell ref="C6:D6"/>
    <mergeCell ref="F6:G6"/>
    <mergeCell ref="H6:I6"/>
    <mergeCell ref="A8:C9"/>
    <mergeCell ref="B14:C14"/>
  </mergeCells>
  <printOptions headings="false" gridLines="false" gridLinesSet="true" horizontalCentered="true" verticalCentered="true"/>
  <pageMargins left="0.747916666666667" right="0.747916666666667" top="0.984027777777778" bottom="0.984027777777778"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T82"/>
  <sheetViews>
    <sheetView showFormulas="false" showGridLines="false" showRowColHeaders="true" showZeros="true" rightToLeft="false" tabSelected="false" showOutlineSymbols="true" defaultGridColor="true" view="normal" topLeftCell="B49" colorId="64" zoomScale="150" zoomScaleNormal="150" zoomScalePageLayoutView="100" workbookViewId="0">
      <selection pane="topLeft" activeCell="P76" activeCellId="0" sqref="P76"/>
    </sheetView>
  </sheetViews>
  <sheetFormatPr defaultColWidth="8.5078125" defaultRowHeight="13.2" zeroHeight="false" outlineLevelRow="0" outlineLevelCol="0"/>
  <cols>
    <col collapsed="false" customWidth="true" hidden="true" outlineLevel="0" max="1" min="1" style="1" width="8.29"/>
    <col collapsed="false" customWidth="true" hidden="false" outlineLevel="0" max="2" min="2" style="315" width="2.29"/>
    <col collapsed="false" customWidth="true" hidden="false" outlineLevel="0" max="3" min="3" style="88" width="0.52"/>
    <col collapsed="false" customWidth="true" hidden="false" outlineLevel="0" max="4" min="4" style="205" width="12.29"/>
    <col collapsed="false" customWidth="true" hidden="false" outlineLevel="0" max="5" min="5" style="205" width="1.29"/>
    <col collapsed="false" customWidth="true" hidden="false" outlineLevel="0" max="6" min="6" style="205" width="2.29"/>
    <col collapsed="false" customWidth="true" hidden="false" outlineLevel="0" max="7" min="7" style="205" width="1.29"/>
    <col collapsed="false" customWidth="true" hidden="false" outlineLevel="0" max="8" min="8" style="87" width="9.52"/>
    <col collapsed="false" customWidth="true" hidden="false" outlineLevel="0" max="9" min="9" style="87" width="11.51"/>
    <col collapsed="false" customWidth="true" hidden="false" outlineLevel="0" max="10" min="10" style="87" width="10.29"/>
    <col collapsed="false" customWidth="true" hidden="false" outlineLevel="0" max="11" min="11" style="87" width="0.52"/>
    <col collapsed="false" customWidth="true" hidden="false" outlineLevel="0" max="12" min="12" style="87" width="2.29"/>
    <col collapsed="false" customWidth="true" hidden="false" outlineLevel="0" max="13" min="13" style="87" width="1.29"/>
    <col collapsed="false" customWidth="true" hidden="false" outlineLevel="0" max="15" min="14" style="87" width="12.29"/>
    <col collapsed="false" customWidth="true" hidden="false" outlineLevel="0" max="16" min="16" style="316" width="12.29"/>
    <col collapsed="false" customWidth="true" hidden="false" outlineLevel="0" max="17" min="17" style="316" width="11.29"/>
    <col collapsed="false" customWidth="false" hidden="false" outlineLevel="0" max="18" min="18" style="316" width="8.49"/>
    <col collapsed="false" customWidth="true" hidden="false" outlineLevel="0" max="19" min="19" style="316" width="7.5"/>
    <col collapsed="false" customWidth="true" hidden="false" outlineLevel="0" max="20" min="20" style="316" width="8.29"/>
    <col collapsed="false" customWidth="true" hidden="false" outlineLevel="0" max="21" min="21" style="87" width="7.29"/>
    <col collapsed="false" customWidth="true" hidden="false" outlineLevel="0" max="22" min="22" style="87" width="9.29"/>
    <col collapsed="false" customWidth="false" hidden="false" outlineLevel="0" max="34" min="23" style="87" width="8.49"/>
    <col collapsed="false" customWidth="false" hidden="false" outlineLevel="0" max="39" min="35" style="285" width="8.49"/>
    <col collapsed="false" customWidth="false" hidden="false" outlineLevel="0" max="257" min="40" style="1" width="8.49"/>
  </cols>
  <sheetData>
    <row r="1" customFormat="false" ht="13.2" hidden="false" customHeight="true" outlineLevel="0" collapsed="false">
      <c r="A1" s="317" t="s">
        <v>159</v>
      </c>
      <c r="B1" s="317"/>
      <c r="C1" s="317"/>
      <c r="D1" s="317"/>
      <c r="E1" s="317"/>
      <c r="F1" s="317"/>
      <c r="G1" s="317"/>
      <c r="H1" s="317"/>
      <c r="I1" s="317"/>
      <c r="J1" s="317"/>
      <c r="K1" s="317"/>
      <c r="L1" s="317"/>
      <c r="M1" s="317"/>
      <c r="N1" s="317"/>
      <c r="O1" s="317"/>
      <c r="P1" s="318"/>
      <c r="Q1" s="318"/>
      <c r="R1" s="318"/>
      <c r="S1" s="318"/>
      <c r="T1" s="31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row>
    <row r="2" customFormat="false" ht="17.25" hidden="false" customHeight="true" outlineLevel="0" collapsed="false">
      <c r="A2" s="106" t="s">
        <v>221</v>
      </c>
      <c r="B2" s="106"/>
      <c r="C2" s="106"/>
      <c r="D2" s="106"/>
      <c r="E2" s="106"/>
      <c r="F2" s="106"/>
      <c r="G2" s="106"/>
      <c r="H2" s="106"/>
      <c r="I2" s="106"/>
      <c r="J2" s="106"/>
      <c r="K2" s="106"/>
      <c r="L2" s="106"/>
      <c r="M2" s="106"/>
      <c r="N2" s="106"/>
      <c r="O2" s="106"/>
      <c r="P2" s="318"/>
      <c r="Q2" s="318"/>
      <c r="R2" s="318"/>
      <c r="S2" s="318"/>
      <c r="T2" s="31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8"/>
      <c r="DE2" s="88"/>
      <c r="DF2" s="88"/>
      <c r="DG2" s="88"/>
      <c r="DH2" s="88"/>
      <c r="DI2" s="88"/>
      <c r="DJ2" s="88"/>
      <c r="DK2" s="88"/>
      <c r="DL2" s="88"/>
      <c r="DM2" s="88"/>
      <c r="DN2" s="88"/>
      <c r="DO2" s="88"/>
      <c r="DP2" s="88"/>
    </row>
    <row r="3" customFormat="false" ht="6" hidden="false" customHeight="true" outlineLevel="0" collapsed="false">
      <c r="A3" s="167"/>
      <c r="B3" s="295"/>
      <c r="C3" s="101"/>
      <c r="D3" s="142"/>
      <c r="E3" s="101"/>
      <c r="F3" s="101"/>
      <c r="G3" s="101"/>
      <c r="H3" s="101"/>
      <c r="I3" s="101"/>
      <c r="J3" s="101"/>
      <c r="K3" s="101"/>
      <c r="L3" s="142"/>
      <c r="M3" s="319"/>
      <c r="N3" s="103"/>
      <c r="O3" s="103"/>
      <c r="P3" s="318"/>
      <c r="Q3" s="318"/>
      <c r="R3" s="318"/>
      <c r="S3" s="318"/>
      <c r="T3" s="31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c r="DJ3" s="88"/>
      <c r="DK3" s="88"/>
      <c r="DL3" s="88"/>
      <c r="DM3" s="88"/>
      <c r="DN3" s="88"/>
      <c r="DO3" s="88"/>
      <c r="DP3" s="88"/>
    </row>
    <row r="4" customFormat="false" ht="17.25" hidden="false" customHeight="true" outlineLevel="0" collapsed="false">
      <c r="B4" s="298" t="s">
        <v>222</v>
      </c>
      <c r="C4" s="298"/>
      <c r="D4" s="298"/>
      <c r="E4" s="298"/>
      <c r="F4" s="298"/>
      <c r="G4" s="298"/>
      <c r="H4" s="298"/>
      <c r="I4" s="298"/>
      <c r="J4" s="298"/>
      <c r="K4" s="298"/>
      <c r="L4" s="298"/>
      <c r="M4" s="298"/>
      <c r="N4" s="298"/>
      <c r="O4" s="298"/>
      <c r="P4" s="320"/>
      <c r="Q4" s="321"/>
      <c r="R4" s="321"/>
      <c r="S4" s="321"/>
      <c r="T4" s="31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row>
    <row r="5" customFormat="false" ht="15.75" hidden="false" customHeight="true" outlineLevel="0" collapsed="false">
      <c r="B5" s="322" t="s">
        <v>223</v>
      </c>
      <c r="C5" s="322"/>
      <c r="D5" s="322"/>
      <c r="E5" s="322"/>
      <c r="F5" s="322"/>
      <c r="G5" s="322"/>
      <c r="H5" s="322"/>
      <c r="I5" s="322"/>
      <c r="J5" s="322"/>
      <c r="K5" s="322"/>
      <c r="L5" s="322"/>
      <c r="M5" s="322"/>
      <c r="N5" s="322"/>
      <c r="O5" s="322"/>
      <c r="P5" s="323"/>
      <c r="Q5" s="321"/>
      <c r="R5" s="321"/>
      <c r="S5" s="321"/>
      <c r="T5" s="31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B5" s="88"/>
      <c r="CC5" s="88"/>
      <c r="CD5" s="88"/>
      <c r="CE5" s="88"/>
      <c r="CF5" s="88"/>
      <c r="CG5" s="88"/>
      <c r="CH5" s="88"/>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c r="DP5" s="88"/>
      <c r="DQ5" s="88"/>
      <c r="DR5" s="88"/>
      <c r="DS5" s="88"/>
      <c r="DT5" s="88"/>
    </row>
    <row r="6" s="112" customFormat="true" ht="18" hidden="false" customHeight="true" outlineLevel="0" collapsed="false">
      <c r="B6" s="210"/>
      <c r="C6" s="210"/>
      <c r="D6" s="208" t="s">
        <v>161</v>
      </c>
      <c r="E6" s="208"/>
      <c r="F6" s="249"/>
      <c r="G6" s="249"/>
      <c r="H6" s="249"/>
      <c r="I6" s="249"/>
      <c r="J6" s="249"/>
      <c r="K6" s="249"/>
      <c r="L6" s="110"/>
      <c r="M6" s="107" t="s">
        <v>162</v>
      </c>
      <c r="N6" s="107"/>
      <c r="O6" s="324"/>
      <c r="P6" s="325"/>
      <c r="Q6" s="326"/>
      <c r="R6" s="327"/>
      <c r="S6" s="327"/>
      <c r="T6" s="327"/>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c r="CK6" s="111"/>
      <c r="CL6" s="111"/>
      <c r="CM6" s="111"/>
      <c r="CN6" s="111"/>
      <c r="CO6" s="111"/>
      <c r="CP6" s="111"/>
      <c r="CQ6" s="111"/>
      <c r="CR6" s="111"/>
      <c r="CS6" s="111"/>
      <c r="CT6" s="111"/>
      <c r="CU6" s="111"/>
      <c r="CV6" s="111"/>
      <c r="CW6" s="111"/>
      <c r="CX6" s="111"/>
      <c r="CY6" s="111"/>
      <c r="CZ6" s="111"/>
      <c r="DA6" s="111"/>
      <c r="DB6" s="111"/>
      <c r="DC6" s="111"/>
      <c r="DD6" s="111"/>
      <c r="DE6" s="111"/>
      <c r="DF6" s="111"/>
      <c r="DG6" s="111"/>
      <c r="DH6" s="111"/>
      <c r="DI6" s="111"/>
      <c r="DJ6" s="111"/>
      <c r="DK6" s="111"/>
      <c r="DL6" s="111"/>
      <c r="DM6" s="111"/>
      <c r="DN6" s="111"/>
    </row>
    <row r="7" customFormat="false" ht="7.5" hidden="false" customHeight="true" outlineLevel="0" collapsed="false">
      <c r="B7" s="328"/>
      <c r="C7" s="328"/>
      <c r="D7" s="328"/>
      <c r="E7" s="328"/>
      <c r="F7" s="328"/>
      <c r="G7" s="328"/>
      <c r="H7" s="328"/>
      <c r="I7" s="328"/>
      <c r="J7" s="328"/>
      <c r="K7" s="328"/>
      <c r="L7" s="328"/>
      <c r="M7" s="328"/>
      <c r="N7" s="328"/>
      <c r="O7" s="328"/>
      <c r="P7" s="323"/>
      <c r="Q7" s="321"/>
      <c r="R7" s="321"/>
      <c r="S7" s="321"/>
      <c r="T7" s="31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c r="BV7" s="88"/>
      <c r="BW7" s="88"/>
      <c r="BX7" s="88"/>
      <c r="BY7" s="88"/>
      <c r="BZ7" s="88"/>
      <c r="CA7" s="88"/>
      <c r="CB7" s="88"/>
      <c r="CC7" s="88"/>
      <c r="CD7" s="88"/>
      <c r="CE7" s="88"/>
      <c r="CF7" s="88"/>
      <c r="CG7" s="88"/>
      <c r="CH7" s="88"/>
      <c r="CI7" s="88"/>
      <c r="CJ7" s="88"/>
      <c r="CK7" s="88"/>
      <c r="CL7" s="88"/>
      <c r="CM7" s="88"/>
      <c r="CN7" s="88"/>
      <c r="CO7" s="88"/>
      <c r="CP7" s="88"/>
      <c r="CQ7" s="88"/>
      <c r="CR7" s="88"/>
      <c r="CS7" s="88"/>
      <c r="CT7" s="88"/>
      <c r="CU7" s="88"/>
      <c r="CV7" s="88"/>
      <c r="CW7" s="88"/>
      <c r="CX7" s="88"/>
      <c r="CY7" s="88"/>
      <c r="CZ7" s="88"/>
      <c r="DA7" s="88"/>
      <c r="DB7" s="88"/>
      <c r="DC7" s="88"/>
      <c r="DD7" s="88"/>
      <c r="DE7" s="88"/>
      <c r="DF7" s="88"/>
      <c r="DG7" s="88"/>
      <c r="DH7" s="88"/>
      <c r="DI7" s="88"/>
      <c r="DJ7" s="88"/>
      <c r="DK7" s="88"/>
      <c r="DL7" s="88"/>
      <c r="DM7" s="88"/>
      <c r="DN7" s="88"/>
      <c r="DO7" s="88"/>
      <c r="DP7" s="88"/>
      <c r="DQ7" s="88"/>
      <c r="DR7" s="88"/>
      <c r="DS7" s="88"/>
      <c r="DT7" s="88"/>
    </row>
    <row r="8" customFormat="false" ht="13.2" hidden="false" customHeight="true" outlineLevel="0" collapsed="false">
      <c r="B8" s="329" t="n">
        <v>1</v>
      </c>
      <c r="C8" s="330"/>
      <c r="D8" s="331" t="s">
        <v>224</v>
      </c>
      <c r="E8" s="331"/>
      <c r="F8" s="331"/>
      <c r="G8" s="331"/>
      <c r="H8" s="331"/>
      <c r="I8" s="331"/>
      <c r="J8" s="331"/>
      <c r="K8" s="331"/>
      <c r="L8" s="331"/>
      <c r="M8" s="331"/>
      <c r="N8" s="331"/>
      <c r="O8" s="331"/>
      <c r="P8" s="332"/>
      <c r="Q8" s="333"/>
    </row>
    <row r="9" customFormat="false" ht="6" hidden="false" customHeight="true" outlineLevel="0" collapsed="false">
      <c r="B9" s="334"/>
      <c r="C9" s="335"/>
      <c r="D9" s="284"/>
      <c r="E9" s="284"/>
      <c r="F9" s="284"/>
      <c r="G9" s="284"/>
      <c r="H9" s="284"/>
      <c r="I9" s="284"/>
      <c r="J9" s="284"/>
      <c r="K9" s="284"/>
      <c r="L9" s="284"/>
      <c r="M9" s="284"/>
      <c r="N9" s="284"/>
      <c r="O9" s="336"/>
      <c r="P9" s="337"/>
      <c r="Q9" s="333"/>
    </row>
    <row r="10" s="129" customFormat="true" ht="9" hidden="false" customHeight="true" outlineLevel="0" collapsed="false">
      <c r="B10" s="338"/>
      <c r="C10" s="339"/>
      <c r="D10" s="340" t="n">
        <v>1</v>
      </c>
      <c r="E10" s="341"/>
      <c r="F10" s="342" t="n">
        <v>2</v>
      </c>
      <c r="G10" s="343"/>
      <c r="H10" s="340" t="n">
        <v>3</v>
      </c>
      <c r="I10" s="340" t="n">
        <v>4</v>
      </c>
      <c r="J10" s="340" t="n">
        <v>5</v>
      </c>
      <c r="K10" s="344"/>
      <c r="L10" s="344"/>
      <c r="M10" s="344"/>
      <c r="N10" s="340" t="n">
        <v>6</v>
      </c>
      <c r="O10" s="345"/>
      <c r="P10" s="346"/>
      <c r="Q10" s="346"/>
      <c r="R10" s="346"/>
      <c r="S10" s="346"/>
      <c r="T10" s="346"/>
      <c r="U10" s="347"/>
      <c r="V10" s="347"/>
      <c r="W10" s="347"/>
      <c r="X10" s="347"/>
      <c r="Y10" s="347"/>
      <c r="Z10" s="347"/>
      <c r="AA10" s="347"/>
      <c r="AB10" s="347"/>
      <c r="AC10" s="347"/>
      <c r="AD10" s="347"/>
      <c r="AE10" s="347"/>
      <c r="AF10" s="347"/>
      <c r="AG10" s="347"/>
      <c r="AH10" s="347"/>
      <c r="AI10" s="348"/>
      <c r="AJ10" s="348"/>
      <c r="AK10" s="348"/>
      <c r="AL10" s="348"/>
      <c r="AM10" s="348"/>
    </row>
    <row r="11" s="349" customFormat="true" ht="23.25" hidden="false" customHeight="true" outlineLevel="0" collapsed="false">
      <c r="B11" s="338"/>
      <c r="C11" s="350"/>
      <c r="D11" s="351" t="s">
        <v>225</v>
      </c>
      <c r="E11" s="351" t="s">
        <v>226</v>
      </c>
      <c r="F11" s="351"/>
      <c r="G11" s="351"/>
      <c r="H11" s="351" t="s">
        <v>227</v>
      </c>
      <c r="I11" s="351" t="s">
        <v>228</v>
      </c>
      <c r="J11" s="351" t="s">
        <v>229</v>
      </c>
      <c r="K11" s="352"/>
      <c r="L11" s="352"/>
      <c r="M11" s="352"/>
      <c r="N11" s="351" t="s">
        <v>230</v>
      </c>
      <c r="O11" s="353"/>
      <c r="P11" s="354"/>
      <c r="Q11" s="354"/>
      <c r="R11" s="354"/>
      <c r="S11" s="354"/>
      <c r="T11" s="354"/>
      <c r="U11" s="355"/>
      <c r="V11" s="355"/>
      <c r="W11" s="355"/>
      <c r="X11" s="355"/>
      <c r="Y11" s="355"/>
      <c r="Z11" s="355"/>
      <c r="AA11" s="355"/>
      <c r="AB11" s="355"/>
      <c r="AC11" s="355"/>
      <c r="AD11" s="355"/>
      <c r="AE11" s="355"/>
      <c r="AF11" s="355"/>
      <c r="AG11" s="355"/>
      <c r="AH11" s="355"/>
      <c r="AI11" s="356"/>
      <c r="AJ11" s="356"/>
      <c r="AK11" s="356"/>
      <c r="AL11" s="356"/>
      <c r="AM11" s="356"/>
    </row>
    <row r="12" s="349" customFormat="true" ht="10.2" hidden="false" customHeight="true" outlineLevel="0" collapsed="false">
      <c r="B12" s="338"/>
      <c r="C12" s="350"/>
      <c r="D12" s="357"/>
      <c r="E12" s="358"/>
      <c r="F12" s="359"/>
      <c r="G12" s="360"/>
      <c r="H12" s="357"/>
      <c r="I12" s="361" t="s">
        <v>231</v>
      </c>
      <c r="J12" s="361"/>
      <c r="K12" s="352"/>
      <c r="L12" s="352"/>
      <c r="M12" s="352"/>
      <c r="N12" s="361" t="s">
        <v>232</v>
      </c>
      <c r="O12" s="353"/>
      <c r="P12" s="354"/>
      <c r="Q12" s="354"/>
      <c r="R12" s="354"/>
      <c r="S12" s="354"/>
      <c r="T12" s="354"/>
      <c r="U12" s="355"/>
      <c r="V12" s="355"/>
      <c r="W12" s="355"/>
      <c r="X12" s="355"/>
      <c r="Y12" s="355"/>
      <c r="Z12" s="355"/>
      <c r="AA12" s="355"/>
      <c r="AB12" s="355"/>
      <c r="AC12" s="355"/>
      <c r="AD12" s="355"/>
      <c r="AE12" s="355"/>
      <c r="AF12" s="355"/>
      <c r="AG12" s="355"/>
      <c r="AH12" s="355"/>
      <c r="AI12" s="356"/>
      <c r="AJ12" s="356"/>
      <c r="AK12" s="356"/>
      <c r="AL12" s="356"/>
      <c r="AM12" s="356"/>
    </row>
    <row r="13" s="349" customFormat="true" ht="5.1" hidden="false" customHeight="true" outlineLevel="0" collapsed="false">
      <c r="B13" s="338"/>
      <c r="C13" s="350"/>
      <c r="D13" s="352"/>
      <c r="E13" s="352"/>
      <c r="F13" s="352"/>
      <c r="G13" s="352"/>
      <c r="H13" s="362"/>
      <c r="I13" s="352"/>
      <c r="J13" s="350"/>
      <c r="K13" s="352"/>
      <c r="L13" s="352"/>
      <c r="M13" s="352"/>
      <c r="N13" s="362"/>
      <c r="O13" s="363"/>
      <c r="P13" s="354"/>
      <c r="Q13" s="354"/>
      <c r="R13" s="354"/>
      <c r="S13" s="354"/>
      <c r="T13" s="354"/>
      <c r="U13" s="355"/>
      <c r="V13" s="355"/>
      <c r="W13" s="355"/>
      <c r="X13" s="355"/>
      <c r="Y13" s="355"/>
      <c r="Z13" s="355"/>
      <c r="AA13" s="355"/>
      <c r="AB13" s="355"/>
      <c r="AC13" s="355"/>
      <c r="AD13" s="355"/>
      <c r="AE13" s="355"/>
      <c r="AF13" s="355"/>
      <c r="AG13" s="355"/>
      <c r="AH13" s="355"/>
      <c r="AI13" s="356"/>
      <c r="AJ13" s="356"/>
      <c r="AK13" s="356"/>
      <c r="AL13" s="356"/>
      <c r="AM13" s="356"/>
    </row>
    <row r="14" customFormat="false" ht="15" hidden="false" customHeight="true" outlineLevel="0" collapsed="false">
      <c r="B14" s="334"/>
      <c r="C14" s="335"/>
      <c r="D14" s="364" t="s">
        <v>233</v>
      </c>
      <c r="E14" s="365"/>
      <c r="F14" s="365"/>
      <c r="G14" s="365"/>
      <c r="H14" s="366"/>
      <c r="I14" s="367" t="n">
        <f aca="false">IF($H$19=0,0,(H14/$H$19))</f>
        <v>0</v>
      </c>
      <c r="J14" s="364" t="n">
        <v>0</v>
      </c>
      <c r="K14" s="142"/>
      <c r="L14" s="142"/>
      <c r="M14" s="142"/>
      <c r="N14" s="368" t="n">
        <f aca="false">I14*J14</f>
        <v>0</v>
      </c>
      <c r="O14" s="369"/>
    </row>
    <row r="15" customFormat="false" ht="15" hidden="false" customHeight="true" outlineLevel="0" collapsed="false">
      <c r="B15" s="334"/>
      <c r="C15" s="335"/>
      <c r="D15" s="364" t="s">
        <v>234</v>
      </c>
      <c r="E15" s="365"/>
      <c r="F15" s="365"/>
      <c r="G15" s="365"/>
      <c r="H15" s="366"/>
      <c r="I15" s="367" t="n">
        <f aca="false">IF($H$19=0,0,(H15/$H$19))</f>
        <v>0</v>
      </c>
      <c r="J15" s="364" t="n">
        <v>5</v>
      </c>
      <c r="K15" s="142"/>
      <c r="L15" s="142"/>
      <c r="M15" s="142"/>
      <c r="N15" s="368" t="n">
        <f aca="false">I15*J15</f>
        <v>0</v>
      </c>
      <c r="O15" s="369"/>
    </row>
    <row r="16" customFormat="false" ht="15" hidden="false" customHeight="true" outlineLevel="0" collapsed="false">
      <c r="B16" s="334"/>
      <c r="C16" s="335"/>
      <c r="D16" s="364" t="s">
        <v>235</v>
      </c>
      <c r="E16" s="365"/>
      <c r="F16" s="365"/>
      <c r="G16" s="365"/>
      <c r="H16" s="366"/>
      <c r="I16" s="367" t="n">
        <f aca="false">IF($H$19=0,0,(H16/$H$19))</f>
        <v>0</v>
      </c>
      <c r="J16" s="364" t="n">
        <v>15</v>
      </c>
      <c r="K16" s="142"/>
      <c r="L16" s="142"/>
      <c r="M16" s="142"/>
      <c r="N16" s="368" t="n">
        <f aca="false">I16*J16</f>
        <v>0</v>
      </c>
      <c r="O16" s="369"/>
    </row>
    <row r="17" customFormat="false" ht="15" hidden="false" customHeight="true" outlineLevel="0" collapsed="false">
      <c r="B17" s="334"/>
      <c r="C17" s="335"/>
      <c r="D17" s="364" t="s">
        <v>236</v>
      </c>
      <c r="E17" s="365"/>
      <c r="F17" s="365"/>
      <c r="G17" s="365"/>
      <c r="H17" s="366"/>
      <c r="I17" s="367" t="n">
        <f aca="false">IF($H$19=0,0,(H17/$H$19))</f>
        <v>0</v>
      </c>
      <c r="J17" s="364" t="n">
        <v>30</v>
      </c>
      <c r="K17" s="142"/>
      <c r="L17" s="142"/>
      <c r="M17" s="142"/>
      <c r="N17" s="368" t="n">
        <f aca="false">I17*J17</f>
        <v>0</v>
      </c>
      <c r="O17" s="369"/>
    </row>
    <row r="18" customFormat="false" ht="15" hidden="false" customHeight="true" outlineLevel="0" collapsed="false">
      <c r="B18" s="334"/>
      <c r="C18" s="335"/>
      <c r="D18" s="364" t="s">
        <v>237</v>
      </c>
      <c r="E18" s="365" t="s">
        <v>238</v>
      </c>
      <c r="F18" s="365"/>
      <c r="G18" s="365"/>
      <c r="H18" s="370" t="n">
        <v>0</v>
      </c>
      <c r="I18" s="367" t="n">
        <f aca="false">IF($H$19=0,0,(H18/$H$19))</f>
        <v>0</v>
      </c>
      <c r="J18" s="364" t="n">
        <v>50</v>
      </c>
      <c r="K18" s="142"/>
      <c r="L18" s="142"/>
      <c r="M18" s="142"/>
      <c r="N18" s="368" t="n">
        <f aca="false">I18*J18</f>
        <v>0</v>
      </c>
      <c r="O18" s="369"/>
    </row>
    <row r="19" customFormat="false" ht="15" hidden="false" customHeight="true" outlineLevel="0" collapsed="false">
      <c r="B19" s="334"/>
      <c r="C19" s="335"/>
      <c r="D19" s="295"/>
      <c r="E19" s="371" t="s">
        <v>239</v>
      </c>
      <c r="F19" s="371"/>
      <c r="G19" s="371"/>
      <c r="H19" s="372" t="n">
        <f aca="false">SUM(H14:H18)</f>
        <v>0</v>
      </c>
      <c r="I19" s="142"/>
      <c r="J19" s="142"/>
      <c r="K19" s="142"/>
      <c r="L19" s="142"/>
      <c r="M19" s="142"/>
      <c r="N19" s="142"/>
      <c r="O19" s="369"/>
    </row>
    <row r="20" customFormat="false" ht="5.1" hidden="false" customHeight="true" outlineLevel="0" collapsed="false">
      <c r="B20" s="334"/>
      <c r="C20" s="335"/>
      <c r="D20" s="295"/>
      <c r="E20" s="295"/>
      <c r="F20" s="295"/>
      <c r="G20" s="295"/>
      <c r="H20" s="295"/>
      <c r="I20" s="142"/>
      <c r="J20" s="142"/>
      <c r="K20" s="142"/>
      <c r="L20" s="142"/>
      <c r="M20" s="142"/>
      <c r="N20" s="142"/>
      <c r="O20" s="369"/>
    </row>
    <row r="21" customFormat="false" ht="15" hidden="false" customHeight="true" outlineLevel="0" collapsed="false">
      <c r="B21" s="334"/>
      <c r="C21" s="335"/>
      <c r="D21" s="295"/>
      <c r="E21" s="295"/>
      <c r="F21" s="295"/>
      <c r="G21" s="295"/>
      <c r="H21" s="142"/>
      <c r="I21" s="142"/>
      <c r="J21" s="142"/>
      <c r="K21" s="373"/>
      <c r="L21" s="373"/>
      <c r="M21" s="373"/>
      <c r="N21" s="374" t="s">
        <v>240</v>
      </c>
      <c r="O21" s="375" t="n">
        <f aca="false">SUM(N14:N18)</f>
        <v>0</v>
      </c>
      <c r="P21" s="376"/>
    </row>
    <row r="22" customFormat="false" ht="6" hidden="false" customHeight="true" outlineLevel="0" collapsed="false">
      <c r="B22" s="334"/>
      <c r="C22" s="335"/>
      <c r="D22" s="295"/>
      <c r="E22" s="295"/>
      <c r="F22" s="295"/>
      <c r="G22" s="295"/>
      <c r="H22" s="142"/>
      <c r="I22" s="142"/>
      <c r="J22" s="142"/>
      <c r="K22" s="142"/>
      <c r="L22" s="142"/>
      <c r="M22" s="142"/>
      <c r="N22" s="142"/>
      <c r="O22" s="377"/>
      <c r="P22" s="333"/>
      <c r="Q22" s="333"/>
    </row>
    <row r="23" customFormat="false" ht="13.2" hidden="false" customHeight="true" outlineLevel="0" collapsed="false">
      <c r="B23" s="329" t="n">
        <v>2</v>
      </c>
      <c r="C23" s="378"/>
      <c r="D23" s="331" t="s">
        <v>241</v>
      </c>
      <c r="E23" s="331"/>
      <c r="F23" s="331"/>
      <c r="G23" s="331"/>
      <c r="H23" s="331"/>
      <c r="I23" s="331"/>
      <c r="J23" s="331"/>
      <c r="K23" s="331"/>
      <c r="L23" s="331"/>
      <c r="M23" s="331"/>
      <c r="N23" s="331"/>
      <c r="O23" s="331"/>
      <c r="P23" s="332"/>
      <c r="Q23" s="333"/>
    </row>
    <row r="24" customFormat="false" ht="6" hidden="false" customHeight="true" outlineLevel="0" collapsed="false">
      <c r="B24" s="334"/>
      <c r="C24" s="335"/>
      <c r="D24" s="295"/>
      <c r="E24" s="295"/>
      <c r="F24" s="295"/>
      <c r="G24" s="295"/>
      <c r="H24" s="142"/>
      <c r="I24" s="142"/>
      <c r="J24" s="142"/>
      <c r="K24" s="142"/>
      <c r="L24" s="142"/>
      <c r="M24" s="142"/>
      <c r="N24" s="142"/>
      <c r="O24" s="379"/>
    </row>
    <row r="25" s="380" customFormat="true" ht="12.75" hidden="false" customHeight="true" outlineLevel="0" collapsed="false">
      <c r="B25" s="381"/>
      <c r="C25" s="382"/>
      <c r="D25" s="383" t="s">
        <v>242</v>
      </c>
      <c r="E25" s="383"/>
      <c r="F25" s="383"/>
      <c r="G25" s="383"/>
      <c r="H25" s="384"/>
      <c r="I25" s="385"/>
      <c r="J25" s="352" t="s">
        <v>243</v>
      </c>
      <c r="K25" s="385"/>
      <c r="L25" s="385"/>
      <c r="M25" s="385"/>
      <c r="N25" s="383" t="s">
        <v>229</v>
      </c>
      <c r="O25" s="386"/>
      <c r="P25" s="387"/>
      <c r="Q25" s="387"/>
      <c r="R25" s="387"/>
      <c r="S25" s="387"/>
      <c r="T25" s="387"/>
      <c r="U25" s="388"/>
      <c r="V25" s="388"/>
      <c r="W25" s="388"/>
      <c r="X25" s="388"/>
      <c r="Y25" s="388"/>
      <c r="Z25" s="388"/>
      <c r="AA25" s="388"/>
      <c r="AB25" s="388"/>
      <c r="AC25" s="388"/>
      <c r="AD25" s="388"/>
      <c r="AE25" s="388"/>
      <c r="AF25" s="388"/>
      <c r="AG25" s="388"/>
      <c r="AH25" s="388"/>
      <c r="AI25" s="389"/>
      <c r="AJ25" s="389"/>
      <c r="AK25" s="389"/>
      <c r="AL25" s="389"/>
      <c r="AM25" s="389"/>
    </row>
    <row r="26" customFormat="false" ht="5.1" hidden="false" customHeight="true" outlineLevel="0" collapsed="false">
      <c r="B26" s="334"/>
      <c r="C26" s="335"/>
      <c r="D26" s="295"/>
      <c r="E26" s="295"/>
      <c r="F26" s="295"/>
      <c r="G26" s="295"/>
      <c r="H26" s="142"/>
      <c r="I26" s="142"/>
      <c r="J26" s="295"/>
      <c r="K26" s="142"/>
      <c r="L26" s="142"/>
      <c r="M26" s="142"/>
      <c r="N26" s="142"/>
      <c r="O26" s="379"/>
    </row>
    <row r="27" customFormat="false" ht="13.2" hidden="false" customHeight="true" outlineLevel="0" collapsed="false">
      <c r="B27" s="390" t="s">
        <v>244</v>
      </c>
      <c r="C27" s="335"/>
      <c r="D27" s="295"/>
      <c r="E27" s="352"/>
      <c r="F27" s="352"/>
      <c r="G27" s="352"/>
      <c r="H27" s="352"/>
      <c r="I27" s="366" t="n">
        <v>0</v>
      </c>
      <c r="J27" s="295" t="s">
        <v>245</v>
      </c>
      <c r="K27" s="142"/>
      <c r="L27" s="391" t="str">
        <f aca="false">IF($I$37&lt;50,"x","-")</f>
        <v>x</v>
      </c>
      <c r="M27" s="142"/>
      <c r="N27" s="295" t="n">
        <v>0</v>
      </c>
      <c r="O27" s="369"/>
    </row>
    <row r="28" customFormat="false" ht="5.1" hidden="false" customHeight="true" outlineLevel="0" collapsed="false">
      <c r="B28" s="334"/>
      <c r="C28" s="335"/>
      <c r="D28" s="295"/>
      <c r="E28" s="295"/>
      <c r="F28" s="295"/>
      <c r="G28" s="295"/>
      <c r="H28" s="142"/>
      <c r="I28" s="392"/>
      <c r="J28" s="295"/>
      <c r="K28" s="142"/>
      <c r="L28" s="393"/>
      <c r="M28" s="142"/>
      <c r="N28" s="295"/>
      <c r="O28" s="369"/>
    </row>
    <row r="29" customFormat="false" ht="13.2" hidden="false" customHeight="true" outlineLevel="0" collapsed="false">
      <c r="B29" s="390" t="s">
        <v>246</v>
      </c>
      <c r="C29" s="335"/>
      <c r="D29" s="295"/>
      <c r="E29" s="295"/>
      <c r="F29" s="295"/>
      <c r="G29" s="295"/>
      <c r="H29" s="142"/>
      <c r="I29" s="366"/>
      <c r="J29" s="295" t="s">
        <v>247</v>
      </c>
      <c r="K29" s="142"/>
      <c r="L29" s="391" t="str">
        <f aca="false">IF($I$37&lt;50,"-",IF($I$37&gt;75,"-",IF($I$37&lt;75,"x")))</f>
        <v>-</v>
      </c>
      <c r="M29" s="142"/>
      <c r="N29" s="295" t="n">
        <v>10</v>
      </c>
      <c r="O29" s="369"/>
    </row>
    <row r="30" customFormat="false" ht="5.1" hidden="false" customHeight="true" outlineLevel="0" collapsed="false">
      <c r="B30" s="334"/>
      <c r="C30" s="335"/>
      <c r="D30" s="394"/>
      <c r="E30" s="295"/>
      <c r="F30" s="295"/>
      <c r="G30" s="295"/>
      <c r="H30" s="142"/>
      <c r="I30" s="392"/>
      <c r="J30" s="295"/>
      <c r="K30" s="142"/>
      <c r="L30" s="295"/>
      <c r="M30" s="142"/>
      <c r="N30" s="295"/>
      <c r="O30" s="369"/>
    </row>
    <row r="31" customFormat="false" ht="13.2" hidden="false" customHeight="true" outlineLevel="0" collapsed="false">
      <c r="B31" s="390" t="s">
        <v>248</v>
      </c>
      <c r="C31" s="335"/>
      <c r="D31" s="295"/>
      <c r="E31" s="295"/>
      <c r="F31" s="295"/>
      <c r="G31" s="295"/>
      <c r="H31" s="142"/>
      <c r="I31" s="366"/>
      <c r="J31" s="295" t="s">
        <v>249</v>
      </c>
      <c r="K31" s="142"/>
      <c r="L31" s="391" t="str">
        <f aca="false">IF($I$37&lt;75,"-",IF($I$37&gt;100,"-",IF($I$37&lt;=100,"x")))</f>
        <v>-</v>
      </c>
      <c r="M31" s="142"/>
      <c r="N31" s="295" t="n">
        <v>20</v>
      </c>
      <c r="O31" s="369"/>
    </row>
    <row r="32" customFormat="false" ht="5.1" hidden="false" customHeight="true" outlineLevel="0" collapsed="false">
      <c r="B32" s="334"/>
      <c r="C32" s="335"/>
      <c r="D32" s="394"/>
      <c r="E32" s="295"/>
      <c r="F32" s="295"/>
      <c r="G32" s="295"/>
      <c r="H32" s="142"/>
      <c r="I32" s="392"/>
      <c r="J32" s="295"/>
      <c r="K32" s="142"/>
      <c r="L32" s="295"/>
      <c r="M32" s="142"/>
      <c r="N32" s="295"/>
      <c r="O32" s="369"/>
    </row>
    <row r="33" customFormat="false" ht="13.2" hidden="false" customHeight="true" outlineLevel="0" collapsed="false">
      <c r="B33" s="390" t="s">
        <v>250</v>
      </c>
      <c r="C33" s="335"/>
      <c r="D33" s="295"/>
      <c r="E33" s="295"/>
      <c r="F33" s="295"/>
      <c r="G33" s="295"/>
      <c r="H33" s="142"/>
      <c r="I33" s="366"/>
      <c r="J33" s="295" t="s">
        <v>251</v>
      </c>
      <c r="K33" s="142"/>
      <c r="L33" s="391" t="str">
        <f aca="false">IF($I$37&lt;=100,"-",IF($I$37&gt;100,"x"))</f>
        <v>-</v>
      </c>
      <c r="M33" s="142"/>
      <c r="N33" s="295" t="n">
        <v>30</v>
      </c>
      <c r="O33" s="395"/>
      <c r="P33" s="333"/>
    </row>
    <row r="34" customFormat="false" ht="6" hidden="false" customHeight="true" outlineLevel="0" collapsed="false">
      <c r="B34" s="334"/>
      <c r="C34" s="335"/>
      <c r="D34" s="394"/>
      <c r="E34" s="295"/>
      <c r="F34" s="295"/>
      <c r="G34" s="295"/>
      <c r="H34" s="142"/>
      <c r="I34" s="142"/>
      <c r="J34" s="295"/>
      <c r="K34" s="142"/>
      <c r="L34" s="295"/>
      <c r="M34" s="142"/>
      <c r="N34" s="295"/>
      <c r="O34" s="395"/>
      <c r="P34" s="333"/>
      <c r="Q34" s="396"/>
    </row>
    <row r="35" customFormat="false" ht="15" hidden="false" customHeight="true" outlineLevel="0" collapsed="false">
      <c r="B35" s="334"/>
      <c r="C35" s="335"/>
      <c r="D35" s="394"/>
      <c r="E35" s="295"/>
      <c r="F35" s="295"/>
      <c r="G35" s="295"/>
      <c r="H35" s="397" t="s">
        <v>252</v>
      </c>
      <c r="I35" s="398" t="n">
        <f aca="false">I27+I29+I31+I33</f>
        <v>0</v>
      </c>
      <c r="J35" s="295"/>
      <c r="K35" s="142"/>
      <c r="L35" s="295"/>
      <c r="M35" s="142"/>
      <c r="N35" s="295"/>
      <c r="O35" s="395"/>
      <c r="P35" s="333"/>
      <c r="Q35" s="396"/>
    </row>
    <row r="36" customFormat="false" ht="5.1" hidden="false" customHeight="true" outlineLevel="0" collapsed="false">
      <c r="B36" s="334"/>
      <c r="C36" s="335"/>
      <c r="D36" s="295"/>
      <c r="E36" s="295"/>
      <c r="F36" s="295"/>
      <c r="G36" s="295"/>
      <c r="H36" s="295"/>
      <c r="I36" s="142"/>
      <c r="J36" s="142"/>
      <c r="K36" s="142"/>
      <c r="L36" s="142"/>
      <c r="M36" s="142"/>
      <c r="N36" s="142"/>
      <c r="O36" s="395"/>
      <c r="P36" s="333"/>
      <c r="Q36" s="333"/>
    </row>
    <row r="37" customFormat="false" ht="15" hidden="false" customHeight="true" outlineLevel="0" collapsed="false">
      <c r="B37" s="334"/>
      <c r="C37" s="335"/>
      <c r="D37" s="295"/>
      <c r="E37" s="295"/>
      <c r="F37" s="295"/>
      <c r="G37" s="295"/>
      <c r="H37" s="397" t="s">
        <v>253</v>
      </c>
      <c r="I37" s="399" t="n">
        <f aca="false">IF(H19=0,0,IF(H19&gt;0,I35/H19*100,0))</f>
        <v>0</v>
      </c>
      <c r="J37" s="142"/>
      <c r="K37" s="142"/>
      <c r="L37" s="142"/>
      <c r="M37" s="373"/>
      <c r="N37" s="374" t="s">
        <v>254</v>
      </c>
      <c r="O37" s="375" t="n">
        <f aca="false">VLOOKUP("X",L27:N33,3,FALSE())</f>
        <v>0</v>
      </c>
      <c r="P37" s="376"/>
      <c r="Q37" s="400"/>
    </row>
    <row r="38" customFormat="false" ht="6" hidden="false" customHeight="true" outlineLevel="0" collapsed="false">
      <c r="B38" s="334"/>
      <c r="C38" s="335"/>
      <c r="D38" s="295"/>
      <c r="E38" s="295"/>
      <c r="F38" s="295"/>
      <c r="G38" s="295"/>
      <c r="H38" s="142"/>
      <c r="I38" s="142"/>
      <c r="J38" s="142"/>
      <c r="K38" s="142"/>
      <c r="L38" s="142"/>
      <c r="M38" s="142"/>
      <c r="N38" s="142"/>
      <c r="O38" s="377"/>
      <c r="P38" s="333"/>
      <c r="Q38" s="333"/>
    </row>
    <row r="39" customFormat="false" ht="13.2" hidden="false" customHeight="true" outlineLevel="0" collapsed="false">
      <c r="B39" s="329" t="n">
        <v>3</v>
      </c>
      <c r="C39" s="378"/>
      <c r="D39" s="331" t="s">
        <v>255</v>
      </c>
      <c r="E39" s="331"/>
      <c r="F39" s="331"/>
      <c r="G39" s="331"/>
      <c r="H39" s="331"/>
      <c r="I39" s="331"/>
      <c r="J39" s="331"/>
      <c r="K39" s="331"/>
      <c r="L39" s="331"/>
      <c r="M39" s="331"/>
      <c r="N39" s="331"/>
      <c r="O39" s="331"/>
      <c r="P39" s="332"/>
      <c r="Q39" s="333"/>
    </row>
    <row r="40" customFormat="false" ht="6" hidden="false" customHeight="true" outlineLevel="0" collapsed="false">
      <c r="B40" s="334"/>
      <c r="C40" s="335"/>
      <c r="D40" s="295"/>
      <c r="E40" s="295"/>
      <c r="F40" s="295"/>
      <c r="G40" s="295"/>
      <c r="H40" s="142"/>
      <c r="I40" s="142"/>
      <c r="J40" s="142"/>
      <c r="K40" s="142"/>
      <c r="L40" s="142"/>
      <c r="M40" s="142"/>
      <c r="N40" s="142"/>
      <c r="O40" s="379"/>
    </row>
    <row r="41" customFormat="false" ht="22.5" hidden="false" customHeight="true" outlineLevel="0" collapsed="false">
      <c r="B41" s="334"/>
      <c r="C41" s="335"/>
      <c r="D41" s="394" t="s">
        <v>256</v>
      </c>
      <c r="E41" s="295"/>
      <c r="F41" s="295"/>
      <c r="G41" s="295"/>
      <c r="H41" s="142"/>
      <c r="I41" s="142"/>
      <c r="J41" s="383" t="s">
        <v>257</v>
      </c>
      <c r="K41" s="383"/>
      <c r="L41" s="383"/>
      <c r="M41" s="383"/>
      <c r="N41" s="383" t="s">
        <v>229</v>
      </c>
      <c r="O41" s="379"/>
      <c r="Q41" s="401"/>
      <c r="R41" s="401"/>
      <c r="S41" s="401"/>
      <c r="T41" s="401"/>
      <c r="U41" s="230"/>
      <c r="V41" s="230"/>
      <c r="W41" s="230"/>
    </row>
    <row r="42" customFormat="false" ht="6" hidden="false" customHeight="true" outlineLevel="0" collapsed="false">
      <c r="B42" s="334"/>
      <c r="C42" s="335"/>
      <c r="D42" s="295"/>
      <c r="E42" s="295"/>
      <c r="F42" s="295"/>
      <c r="G42" s="295"/>
      <c r="H42" s="142"/>
      <c r="I42" s="142"/>
      <c r="J42" s="295"/>
      <c r="K42" s="295"/>
      <c r="L42" s="295"/>
      <c r="M42" s="295"/>
      <c r="N42" s="142"/>
      <c r="O42" s="379"/>
      <c r="Q42" s="401"/>
      <c r="R42" s="401"/>
      <c r="S42" s="401"/>
      <c r="T42" s="401"/>
      <c r="U42" s="230"/>
      <c r="V42" s="230"/>
      <c r="W42" s="230"/>
    </row>
    <row r="43" customFormat="false" ht="12" hidden="false" customHeight="true" outlineLevel="0" collapsed="false">
      <c r="B43" s="334"/>
      <c r="C43" s="335"/>
      <c r="D43" s="402" t="s">
        <v>258</v>
      </c>
      <c r="E43" s="402"/>
      <c r="F43" s="402"/>
      <c r="G43" s="402"/>
      <c r="H43" s="402"/>
      <c r="I43" s="402"/>
      <c r="J43" s="295" t="n">
        <v>0</v>
      </c>
      <c r="K43" s="295"/>
      <c r="L43" s="403" t="str">
        <f aca="false">IF($A$55=0,"x","-")</f>
        <v>x</v>
      </c>
      <c r="M43" s="295"/>
      <c r="N43" s="295" t="n">
        <v>0</v>
      </c>
      <c r="O43" s="369"/>
      <c r="V43" s="230"/>
      <c r="W43" s="230"/>
    </row>
    <row r="44" customFormat="false" ht="5.1" hidden="false" customHeight="true" outlineLevel="0" collapsed="false">
      <c r="B44" s="334"/>
      <c r="C44" s="335"/>
      <c r="D44" s="402"/>
      <c r="E44" s="402"/>
      <c r="F44" s="402"/>
      <c r="G44" s="402"/>
      <c r="H44" s="402"/>
      <c r="I44" s="402"/>
      <c r="J44" s="295"/>
      <c r="K44" s="295"/>
      <c r="L44" s="404"/>
      <c r="M44" s="295"/>
      <c r="N44" s="295"/>
      <c r="O44" s="369"/>
      <c r="V44" s="405"/>
      <c r="W44" s="405"/>
    </row>
    <row r="45" customFormat="false" ht="12.75" hidden="false" customHeight="true" outlineLevel="0" collapsed="false">
      <c r="A45" s="1" t="n">
        <f aca="false">IF(B45="X",1,0)</f>
        <v>0</v>
      </c>
      <c r="B45" s="406"/>
      <c r="C45" s="335"/>
      <c r="D45" s="402"/>
      <c r="E45" s="402"/>
      <c r="F45" s="402"/>
      <c r="G45" s="402"/>
      <c r="H45" s="402"/>
      <c r="I45" s="402"/>
      <c r="J45" s="295" t="n">
        <v>1</v>
      </c>
      <c r="K45" s="295"/>
      <c r="L45" s="403" t="str">
        <f aca="false">IF($A$55=1,"x","-")</f>
        <v>-</v>
      </c>
      <c r="M45" s="295"/>
      <c r="N45" s="295" t="n">
        <v>10</v>
      </c>
      <c r="O45" s="369"/>
      <c r="Q45" s="407"/>
      <c r="R45" s="407"/>
      <c r="S45" s="407"/>
      <c r="T45" s="407"/>
      <c r="U45" s="408"/>
      <c r="V45" s="408"/>
      <c r="W45" s="408"/>
    </row>
    <row r="46" customFormat="false" ht="4.5" hidden="false" customHeight="true" outlineLevel="0" collapsed="false">
      <c r="B46" s="409"/>
      <c r="C46" s="335"/>
      <c r="D46" s="402" t="s">
        <v>259</v>
      </c>
      <c r="E46" s="402"/>
      <c r="F46" s="402"/>
      <c r="G46" s="402"/>
      <c r="H46" s="402"/>
      <c r="I46" s="402"/>
      <c r="J46" s="295"/>
      <c r="K46" s="295"/>
      <c r="L46" s="295"/>
      <c r="M46" s="295"/>
      <c r="N46" s="295"/>
      <c r="O46" s="369"/>
      <c r="Q46" s="407"/>
      <c r="R46" s="407"/>
      <c r="S46" s="407"/>
      <c r="T46" s="407"/>
      <c r="U46" s="408"/>
      <c r="V46" s="408"/>
      <c r="W46" s="408"/>
    </row>
    <row r="47" customFormat="false" ht="12.75" hidden="false" customHeight="true" outlineLevel="0" collapsed="false">
      <c r="A47" s="1" t="n">
        <f aca="false">IF(B47="X",1,0)</f>
        <v>0</v>
      </c>
      <c r="B47" s="406"/>
      <c r="C47" s="335"/>
      <c r="D47" s="402"/>
      <c r="E47" s="402"/>
      <c r="F47" s="402"/>
      <c r="G47" s="402"/>
      <c r="H47" s="402"/>
      <c r="I47" s="402"/>
      <c r="J47" s="295" t="n">
        <v>2</v>
      </c>
      <c r="K47" s="295"/>
      <c r="L47" s="403" t="str">
        <f aca="false">IF($A$55=2,"x","-")</f>
        <v>-</v>
      </c>
      <c r="M47" s="295"/>
      <c r="N47" s="295" t="n">
        <v>20</v>
      </c>
      <c r="O47" s="369"/>
      <c r="Q47" s="407"/>
      <c r="R47" s="407"/>
      <c r="S47" s="407"/>
      <c r="T47" s="407"/>
      <c r="U47" s="408"/>
      <c r="V47" s="408"/>
      <c r="W47" s="408"/>
    </row>
    <row r="48" customFormat="false" ht="6" hidden="false" customHeight="true" outlineLevel="0" collapsed="false">
      <c r="B48" s="409"/>
      <c r="C48" s="335"/>
      <c r="D48" s="402"/>
      <c r="E48" s="402"/>
      <c r="F48" s="402"/>
      <c r="G48" s="402"/>
      <c r="H48" s="402"/>
      <c r="I48" s="402"/>
      <c r="J48" s="295"/>
      <c r="K48" s="295"/>
      <c r="L48" s="295"/>
      <c r="M48" s="295"/>
      <c r="N48" s="295"/>
      <c r="O48" s="369"/>
      <c r="Q48" s="400"/>
      <c r="R48" s="400"/>
      <c r="S48" s="400"/>
      <c r="T48" s="400"/>
      <c r="U48" s="405"/>
      <c r="V48" s="405"/>
      <c r="W48" s="405"/>
    </row>
    <row r="49" customFormat="false" ht="14.65" hidden="false" customHeight="true" outlineLevel="0" collapsed="false">
      <c r="A49" s="1" t="n">
        <f aca="false">IF(B49="X",1,0)</f>
        <v>0</v>
      </c>
      <c r="B49" s="406"/>
      <c r="C49" s="335"/>
      <c r="D49" s="373" t="s">
        <v>260</v>
      </c>
      <c r="E49" s="295"/>
      <c r="F49" s="295"/>
      <c r="G49" s="295"/>
      <c r="H49" s="142"/>
      <c r="I49" s="142"/>
      <c r="J49" s="295" t="n">
        <v>3</v>
      </c>
      <c r="K49" s="295"/>
      <c r="L49" s="403" t="str">
        <f aca="false">IF($A$55=3,"x","-")</f>
        <v>-</v>
      </c>
      <c r="M49" s="295"/>
      <c r="N49" s="295" t="n">
        <v>30</v>
      </c>
      <c r="O49" s="369"/>
      <c r="U49" s="405"/>
      <c r="V49" s="405"/>
      <c r="W49" s="405"/>
    </row>
    <row r="50" customFormat="false" ht="5.1" hidden="false" customHeight="true" outlineLevel="0" collapsed="false">
      <c r="B50" s="409"/>
      <c r="C50" s="335"/>
      <c r="D50" s="295"/>
      <c r="E50" s="295"/>
      <c r="F50" s="295"/>
      <c r="G50" s="295"/>
      <c r="H50" s="142"/>
      <c r="I50" s="142"/>
      <c r="J50" s="295"/>
      <c r="K50" s="295"/>
      <c r="L50" s="295"/>
      <c r="M50" s="295"/>
      <c r="N50" s="295"/>
      <c r="O50" s="369"/>
      <c r="U50" s="405"/>
      <c r="V50" s="405"/>
      <c r="W50" s="405"/>
    </row>
    <row r="51" customFormat="false" ht="13.2" hidden="false" customHeight="true" outlineLevel="0" collapsed="false">
      <c r="A51" s="1" t="n">
        <f aca="false">IF(B51="X",1,0)</f>
        <v>0</v>
      </c>
      <c r="B51" s="406"/>
      <c r="C51" s="335"/>
      <c r="D51" s="373" t="s">
        <v>261</v>
      </c>
      <c r="E51" s="295"/>
      <c r="F51" s="295"/>
      <c r="G51" s="295"/>
      <c r="H51" s="142"/>
      <c r="I51" s="142"/>
      <c r="J51" s="295" t="n">
        <v>4</v>
      </c>
      <c r="K51" s="295"/>
      <c r="L51" s="403" t="str">
        <f aca="false">IF($A$55=4,"x","-")</f>
        <v>-</v>
      </c>
      <c r="M51" s="295"/>
      <c r="N51" s="295" t="n">
        <v>40</v>
      </c>
      <c r="O51" s="369"/>
      <c r="U51" s="405"/>
      <c r="V51" s="405"/>
      <c r="W51" s="405"/>
    </row>
    <row r="52" customFormat="false" ht="5.1" hidden="false" customHeight="true" outlineLevel="0" collapsed="false">
      <c r="B52" s="409"/>
      <c r="C52" s="335"/>
      <c r="D52" s="295"/>
      <c r="E52" s="295"/>
      <c r="F52" s="295"/>
      <c r="G52" s="295"/>
      <c r="H52" s="142"/>
      <c r="I52" s="142"/>
      <c r="J52" s="295"/>
      <c r="K52" s="295"/>
      <c r="L52" s="295"/>
      <c r="M52" s="295"/>
      <c r="N52" s="295"/>
      <c r="O52" s="369"/>
      <c r="Q52" s="400"/>
      <c r="R52" s="400"/>
      <c r="S52" s="400"/>
      <c r="T52" s="400"/>
      <c r="U52" s="405"/>
      <c r="V52" s="405"/>
      <c r="W52" s="405"/>
    </row>
    <row r="53" customFormat="false" ht="13.2" hidden="false" customHeight="true" outlineLevel="0" collapsed="false">
      <c r="A53" s="1" t="n">
        <f aca="false">IF(B53="X",1,0)</f>
        <v>0</v>
      </c>
      <c r="B53" s="406" t="s">
        <v>238</v>
      </c>
      <c r="C53" s="335"/>
      <c r="D53" s="373" t="s">
        <v>262</v>
      </c>
      <c r="E53" s="295"/>
      <c r="F53" s="295"/>
      <c r="G53" s="295"/>
      <c r="H53" s="142"/>
      <c r="I53" s="142"/>
      <c r="J53" s="295" t="n">
        <v>5</v>
      </c>
      <c r="K53" s="295"/>
      <c r="L53" s="403" t="str">
        <f aca="false">IF($A$55=5,"x","-")</f>
        <v>-</v>
      </c>
      <c r="M53" s="295"/>
      <c r="N53" s="295" t="n">
        <v>50</v>
      </c>
      <c r="O53" s="369"/>
      <c r="R53" s="400"/>
      <c r="S53" s="400"/>
      <c r="T53" s="400"/>
      <c r="U53" s="405"/>
      <c r="V53" s="405"/>
      <c r="W53" s="405"/>
    </row>
    <row r="54" customFormat="false" ht="12" hidden="false" customHeight="true" outlineLevel="0" collapsed="false">
      <c r="B54" s="334"/>
      <c r="C54" s="335"/>
      <c r="D54" s="295"/>
      <c r="E54" s="295"/>
      <c r="F54" s="295"/>
      <c r="G54" s="295"/>
      <c r="H54" s="295"/>
      <c r="I54" s="142"/>
      <c r="J54" s="385"/>
      <c r="K54" s="385"/>
      <c r="L54" s="385"/>
      <c r="M54" s="385"/>
      <c r="N54" s="385"/>
      <c r="O54" s="410"/>
      <c r="P54" s="387"/>
    </row>
    <row r="55" customFormat="false" ht="15" hidden="false" customHeight="true" outlineLevel="0" collapsed="false">
      <c r="A55" s="1" t="n">
        <f aca="false">SUM(A45:A53)</f>
        <v>0</v>
      </c>
      <c r="B55" s="334"/>
      <c r="C55" s="335"/>
      <c r="D55" s="295"/>
      <c r="E55" s="295"/>
      <c r="F55" s="295"/>
      <c r="G55" s="295"/>
      <c r="H55" s="142"/>
      <c r="I55" s="142"/>
      <c r="J55" s="373"/>
      <c r="K55" s="373"/>
      <c r="L55" s="373"/>
      <c r="M55" s="373"/>
      <c r="N55" s="374" t="s">
        <v>263</v>
      </c>
      <c r="O55" s="375" t="n">
        <f aca="false">VLOOKUP("x",L43:N53,3,FALSE())</f>
        <v>0</v>
      </c>
    </row>
    <row r="56" customFormat="false" ht="6" hidden="false" customHeight="true" outlineLevel="0" collapsed="false">
      <c r="B56" s="334"/>
      <c r="C56" s="335"/>
      <c r="D56" s="295"/>
      <c r="E56" s="295"/>
      <c r="F56" s="295"/>
      <c r="G56" s="295"/>
      <c r="H56" s="142"/>
      <c r="I56" s="142"/>
      <c r="J56" s="373"/>
      <c r="K56" s="373"/>
      <c r="L56" s="373"/>
      <c r="M56" s="373"/>
      <c r="N56" s="142"/>
      <c r="O56" s="379"/>
    </row>
    <row r="57" customFormat="false" ht="13.2" hidden="false" customHeight="true" outlineLevel="0" collapsed="false">
      <c r="B57" s="329" t="n">
        <v>4</v>
      </c>
      <c r="C57" s="378"/>
      <c r="D57" s="331" t="s">
        <v>264</v>
      </c>
      <c r="E57" s="331"/>
      <c r="F57" s="331"/>
      <c r="G57" s="331"/>
      <c r="H57" s="331"/>
      <c r="I57" s="331"/>
      <c r="J57" s="331"/>
      <c r="K57" s="331"/>
      <c r="L57" s="331"/>
      <c r="M57" s="331"/>
      <c r="N57" s="331"/>
      <c r="O57" s="331"/>
      <c r="P57" s="332"/>
      <c r="Q57" s="333"/>
    </row>
    <row r="58" customFormat="false" ht="6" hidden="false" customHeight="true" outlineLevel="0" collapsed="false">
      <c r="B58" s="334"/>
      <c r="C58" s="335"/>
      <c r="D58" s="295"/>
      <c r="E58" s="295"/>
      <c r="F58" s="295"/>
      <c r="G58" s="295"/>
      <c r="H58" s="142"/>
      <c r="I58" s="142"/>
      <c r="J58" s="373"/>
      <c r="K58" s="373"/>
      <c r="L58" s="373"/>
      <c r="M58" s="373"/>
      <c r="N58" s="142"/>
      <c r="O58" s="379"/>
    </row>
    <row r="59" customFormat="false" ht="27" hidden="false" customHeight="true" outlineLevel="0" collapsed="false">
      <c r="B59" s="334"/>
      <c r="C59" s="335"/>
      <c r="D59" s="295"/>
      <c r="E59" s="295"/>
      <c r="F59" s="295"/>
      <c r="G59" s="295"/>
      <c r="H59" s="142"/>
      <c r="I59" s="142"/>
      <c r="J59" s="411" t="s">
        <v>265</v>
      </c>
      <c r="K59" s="383"/>
      <c r="L59" s="383"/>
      <c r="M59" s="383"/>
      <c r="N59" s="383" t="s">
        <v>266</v>
      </c>
      <c r="O59" s="363" t="s">
        <v>267</v>
      </c>
      <c r="P59" s="412" t="s">
        <v>268</v>
      </c>
    </row>
    <row r="60" customFormat="false" ht="13.2" hidden="false" customHeight="true" outlineLevel="0" collapsed="false">
      <c r="B60" s="334"/>
      <c r="C60" s="335"/>
      <c r="D60" s="105" t="s">
        <v>269</v>
      </c>
      <c r="E60" s="105"/>
      <c r="F60" s="105"/>
      <c r="G60" s="105"/>
      <c r="H60" s="142"/>
      <c r="I60" s="102" t="n">
        <f aca="false">O55+O37+O21</f>
        <v>0</v>
      </c>
      <c r="J60" s="413" t="s">
        <v>270</v>
      </c>
      <c r="K60" s="295"/>
      <c r="L60" s="391" t="str">
        <f aca="false">IF(V60&gt;0,"X","-")</f>
        <v>X</v>
      </c>
      <c r="M60" s="295"/>
      <c r="N60" s="295" t="s">
        <v>271</v>
      </c>
      <c r="O60" s="414" t="s">
        <v>272</v>
      </c>
      <c r="P60" s="415" t="n">
        <v>312.7311</v>
      </c>
      <c r="Q60" s="415"/>
      <c r="T60" s="316" t="n">
        <f aca="false">IF($I$60&gt;5,0,1)</f>
        <v>1</v>
      </c>
      <c r="U60" s="87" t="n">
        <v>1</v>
      </c>
      <c r="V60" s="87" t="n">
        <f aca="false">T60*U60</f>
        <v>1</v>
      </c>
    </row>
    <row r="61" customFormat="false" ht="6" hidden="false" customHeight="true" outlineLevel="0" collapsed="false">
      <c r="B61" s="334"/>
      <c r="C61" s="335"/>
      <c r="D61" s="105"/>
      <c r="E61" s="105"/>
      <c r="F61" s="105"/>
      <c r="G61" s="105"/>
      <c r="H61" s="142"/>
      <c r="I61" s="142"/>
      <c r="J61" s="413"/>
      <c r="K61" s="295"/>
      <c r="L61" s="295"/>
      <c r="M61" s="295"/>
      <c r="N61" s="295"/>
      <c r="O61" s="414"/>
      <c r="P61" s="415"/>
      <c r="Q61" s="415"/>
    </row>
    <row r="62" customFormat="false" ht="13.2" hidden="false" customHeight="true" outlineLevel="0" collapsed="false">
      <c r="B62" s="334"/>
      <c r="C62" s="335"/>
      <c r="D62" s="295"/>
      <c r="E62" s="295"/>
      <c r="F62" s="295"/>
      <c r="G62" s="295"/>
      <c r="H62" s="142"/>
      <c r="I62" s="142"/>
      <c r="J62" s="416" t="s">
        <v>273</v>
      </c>
      <c r="K62" s="417"/>
      <c r="L62" s="391" t="str">
        <f aca="false">IF(V62&gt;0,"X","-")</f>
        <v>-</v>
      </c>
      <c r="M62" s="417"/>
      <c r="N62" s="295" t="s">
        <v>274</v>
      </c>
      <c r="O62" s="418" t="n">
        <v>0.05</v>
      </c>
      <c r="P62" s="415" t="n">
        <f aca="false">ROUND($P$60+($P$60*O62),2)</f>
        <v>328.37</v>
      </c>
      <c r="Q62" s="415"/>
      <c r="T62" s="316" t="n">
        <f aca="false">IF($I$60&gt;5,1,0)</f>
        <v>0</v>
      </c>
      <c r="U62" s="87" t="n">
        <f aca="false">IF($I$60&lt;=10,1,0)</f>
        <v>1</v>
      </c>
      <c r="V62" s="87" t="n">
        <f aca="false">T62*U62</f>
        <v>0</v>
      </c>
    </row>
    <row r="63" customFormat="false" ht="5.1" hidden="false" customHeight="true" outlineLevel="0" collapsed="false">
      <c r="B63" s="334"/>
      <c r="C63" s="335"/>
      <c r="D63" s="295"/>
      <c r="E63" s="295"/>
      <c r="F63" s="295"/>
      <c r="G63" s="295"/>
      <c r="H63" s="142"/>
      <c r="I63" s="142"/>
      <c r="J63" s="416"/>
      <c r="K63" s="417"/>
      <c r="L63" s="417"/>
      <c r="M63" s="417"/>
      <c r="N63" s="295"/>
      <c r="O63" s="418"/>
      <c r="P63" s="415"/>
      <c r="Q63" s="415"/>
    </row>
    <row r="64" customFormat="false" ht="13.2" hidden="false" customHeight="true" outlineLevel="0" collapsed="false">
      <c r="B64" s="334"/>
      <c r="C64" s="335"/>
      <c r="D64" s="295"/>
      <c r="E64" s="295"/>
      <c r="F64" s="295"/>
      <c r="G64" s="295"/>
      <c r="H64" s="142"/>
      <c r="I64" s="142"/>
      <c r="J64" s="416" t="s">
        <v>275</v>
      </c>
      <c r="K64" s="417"/>
      <c r="L64" s="391" t="str">
        <f aca="false">IF(V64&gt;0,"X","-")</f>
        <v>-</v>
      </c>
      <c r="M64" s="417"/>
      <c r="N64" s="295" t="s">
        <v>276</v>
      </c>
      <c r="O64" s="418" t="n">
        <v>0.1</v>
      </c>
      <c r="P64" s="415" t="n">
        <f aca="false">ROUND($P$60+($P$60*O64),2)</f>
        <v>344</v>
      </c>
      <c r="Q64" s="415"/>
      <c r="T64" s="316" t="n">
        <f aca="false">IF($I$60&gt;10,1,0)</f>
        <v>0</v>
      </c>
      <c r="U64" s="87" t="n">
        <f aca="false">IF($I$60&lt;=15,1,0)</f>
        <v>1</v>
      </c>
      <c r="V64" s="87" t="n">
        <f aca="false">T64*U64</f>
        <v>0</v>
      </c>
    </row>
    <row r="65" customFormat="false" ht="3.75" hidden="false" customHeight="true" outlineLevel="0" collapsed="false">
      <c r="B65" s="334"/>
      <c r="C65" s="335"/>
      <c r="D65" s="295"/>
      <c r="E65" s="295"/>
      <c r="F65" s="295"/>
      <c r="G65" s="295"/>
      <c r="H65" s="142"/>
      <c r="I65" s="142"/>
      <c r="J65" s="416"/>
      <c r="K65" s="417"/>
      <c r="L65" s="417"/>
      <c r="M65" s="417"/>
      <c r="N65" s="295"/>
      <c r="O65" s="418"/>
      <c r="P65" s="415"/>
      <c r="Q65" s="415"/>
    </row>
    <row r="66" customFormat="false" ht="13.2" hidden="false" customHeight="true" outlineLevel="0" collapsed="false">
      <c r="B66" s="334"/>
      <c r="C66" s="335"/>
      <c r="D66" s="295"/>
      <c r="E66" s="295"/>
      <c r="F66" s="295"/>
      <c r="G66" s="295"/>
      <c r="H66" s="142"/>
      <c r="I66" s="142"/>
      <c r="J66" s="416" t="s">
        <v>277</v>
      </c>
      <c r="K66" s="417"/>
      <c r="L66" s="391" t="str">
        <f aca="false">IF(V66&gt;0,"X","-")</f>
        <v>-</v>
      </c>
      <c r="M66" s="417"/>
      <c r="N66" s="295" t="s">
        <v>278</v>
      </c>
      <c r="O66" s="418" t="n">
        <v>0.15</v>
      </c>
      <c r="P66" s="415" t="n">
        <f aca="false">ROUND($P$60+($P$60*O66),2)</f>
        <v>359.64</v>
      </c>
      <c r="Q66" s="415"/>
      <c r="T66" s="316" t="n">
        <f aca="false">IF($I$60&gt;15,1,0)</f>
        <v>0</v>
      </c>
      <c r="U66" s="87" t="n">
        <f aca="false">IF($I$60&lt;=20,1,0)</f>
        <v>1</v>
      </c>
      <c r="V66" s="87" t="n">
        <f aca="false">T66*U66</f>
        <v>0</v>
      </c>
    </row>
    <row r="67" customFormat="false" ht="5.1" hidden="false" customHeight="true" outlineLevel="0" collapsed="false">
      <c r="B67" s="334"/>
      <c r="C67" s="335"/>
      <c r="D67" s="295"/>
      <c r="E67" s="295"/>
      <c r="F67" s="295"/>
      <c r="G67" s="295"/>
      <c r="H67" s="142"/>
      <c r="I67" s="142"/>
      <c r="J67" s="416"/>
      <c r="K67" s="417"/>
      <c r="L67" s="417"/>
      <c r="M67" s="417"/>
      <c r="N67" s="295"/>
      <c r="O67" s="418"/>
      <c r="P67" s="415"/>
      <c r="Q67" s="415"/>
    </row>
    <row r="68" customFormat="false" ht="13.2" hidden="false" customHeight="true" outlineLevel="0" collapsed="false">
      <c r="B68" s="334"/>
      <c r="C68" s="335"/>
      <c r="D68" s="295"/>
      <c r="E68" s="295"/>
      <c r="F68" s="295"/>
      <c r="G68" s="295"/>
      <c r="H68" s="142"/>
      <c r="I68" s="142"/>
      <c r="J68" s="413" t="s">
        <v>279</v>
      </c>
      <c r="K68" s="295"/>
      <c r="L68" s="391" t="str">
        <f aca="false">IF(V68&gt;0,"X","-")</f>
        <v>-</v>
      </c>
      <c r="M68" s="295"/>
      <c r="N68" s="295" t="s">
        <v>280</v>
      </c>
      <c r="O68" s="418" t="n">
        <v>0.2</v>
      </c>
      <c r="P68" s="415" t="n">
        <f aca="false">ROUND($P$60+($P$60*O68),2)</f>
        <v>375.28</v>
      </c>
      <c r="Q68" s="415"/>
      <c r="T68" s="316" t="n">
        <f aca="false">IF($I$60&gt;20,1,0)</f>
        <v>0</v>
      </c>
      <c r="U68" s="87" t="n">
        <f aca="false">IF($I$60&lt;=25,1,0)</f>
        <v>1</v>
      </c>
      <c r="V68" s="87" t="n">
        <f aca="false">T68*U68</f>
        <v>0</v>
      </c>
    </row>
    <row r="69" customFormat="false" ht="5.1" hidden="false" customHeight="true" outlineLevel="0" collapsed="false">
      <c r="B69" s="334"/>
      <c r="C69" s="335"/>
      <c r="D69" s="295"/>
      <c r="E69" s="295"/>
      <c r="F69" s="295"/>
      <c r="G69" s="295"/>
      <c r="H69" s="142"/>
      <c r="I69" s="142"/>
      <c r="J69" s="413"/>
      <c r="K69" s="295"/>
      <c r="L69" s="295"/>
      <c r="M69" s="295"/>
      <c r="N69" s="295"/>
      <c r="O69" s="418"/>
      <c r="P69" s="415"/>
      <c r="Q69" s="415"/>
    </row>
    <row r="70" customFormat="false" ht="13.2" hidden="false" customHeight="true" outlineLevel="0" collapsed="false">
      <c r="B70" s="334"/>
      <c r="C70" s="335"/>
      <c r="D70" s="295"/>
      <c r="E70" s="295"/>
      <c r="F70" s="295"/>
      <c r="G70" s="295"/>
      <c r="H70" s="142"/>
      <c r="I70" s="142"/>
      <c r="J70" s="413" t="s">
        <v>281</v>
      </c>
      <c r="K70" s="295"/>
      <c r="L70" s="391" t="str">
        <f aca="false">IF(V70&gt;0,"X","-")</f>
        <v>-</v>
      </c>
      <c r="M70" s="295"/>
      <c r="N70" s="295" t="s">
        <v>282</v>
      </c>
      <c r="O70" s="418" t="n">
        <v>0.25</v>
      </c>
      <c r="P70" s="415" t="n">
        <f aca="false">ROUND($P$60+($P$60*O70),2)</f>
        <v>390.91</v>
      </c>
      <c r="Q70" s="415"/>
      <c r="T70" s="316" t="n">
        <f aca="false">IF($I$60&gt;25,1,0)</f>
        <v>0</v>
      </c>
      <c r="U70" s="87" t="n">
        <f aca="false">IF($I$60&lt;=30,1,0)</f>
        <v>1</v>
      </c>
      <c r="V70" s="87" t="n">
        <f aca="false">T70*U70</f>
        <v>0</v>
      </c>
    </row>
    <row r="71" customFormat="false" ht="5.1" hidden="false" customHeight="true" outlineLevel="0" collapsed="false">
      <c r="B71" s="334"/>
      <c r="C71" s="335"/>
      <c r="D71" s="295"/>
      <c r="E71" s="295"/>
      <c r="F71" s="295"/>
      <c r="G71" s="295"/>
      <c r="H71" s="142"/>
      <c r="I71" s="142"/>
      <c r="J71" s="413"/>
      <c r="K71" s="295"/>
      <c r="L71" s="295"/>
      <c r="M71" s="295"/>
      <c r="N71" s="295"/>
      <c r="O71" s="418"/>
      <c r="P71" s="415"/>
      <c r="Q71" s="415"/>
    </row>
    <row r="72" customFormat="false" ht="13.2" hidden="false" customHeight="true" outlineLevel="0" collapsed="false">
      <c r="B72" s="334"/>
      <c r="C72" s="335"/>
      <c r="D72" s="295"/>
      <c r="E72" s="295"/>
      <c r="F72" s="295"/>
      <c r="G72" s="295"/>
      <c r="H72" s="142"/>
      <c r="I72" s="142"/>
      <c r="J72" s="413" t="s">
        <v>283</v>
      </c>
      <c r="K72" s="295"/>
      <c r="L72" s="391" t="str">
        <f aca="false">IF(V72&gt;0,"X","-")</f>
        <v>-</v>
      </c>
      <c r="M72" s="295"/>
      <c r="N72" s="295" t="s">
        <v>284</v>
      </c>
      <c r="O72" s="418" t="n">
        <v>0.3</v>
      </c>
      <c r="P72" s="415" t="n">
        <f aca="false">ROUND($P$60+($P$60*O72),2)</f>
        <v>406.55</v>
      </c>
      <c r="Q72" s="415"/>
      <c r="T72" s="316" t="n">
        <f aca="false">IF($I$60&gt;30,1,0)</f>
        <v>0</v>
      </c>
      <c r="U72" s="87" t="n">
        <f aca="false">IF($I$60&lt;=35,1,0)</f>
        <v>1</v>
      </c>
      <c r="V72" s="87" t="n">
        <f aca="false">T72*U72</f>
        <v>0</v>
      </c>
    </row>
    <row r="73" customFormat="false" ht="5.1" hidden="false" customHeight="true" outlineLevel="0" collapsed="false">
      <c r="B73" s="334"/>
      <c r="C73" s="335"/>
      <c r="D73" s="295"/>
      <c r="E73" s="295"/>
      <c r="F73" s="295"/>
      <c r="G73" s="295"/>
      <c r="H73" s="142"/>
      <c r="I73" s="142"/>
      <c r="J73" s="413"/>
      <c r="K73" s="295"/>
      <c r="L73" s="295"/>
      <c r="M73" s="295"/>
      <c r="N73" s="295"/>
      <c r="O73" s="418"/>
      <c r="P73" s="415"/>
      <c r="Q73" s="415"/>
    </row>
    <row r="74" customFormat="false" ht="13.2" hidden="false" customHeight="true" outlineLevel="0" collapsed="false">
      <c r="B74" s="334"/>
      <c r="C74" s="335"/>
      <c r="D74" s="295"/>
      <c r="E74" s="295"/>
      <c r="F74" s="295"/>
      <c r="G74" s="295"/>
      <c r="H74" s="142"/>
      <c r="I74" s="142"/>
      <c r="J74" s="413" t="s">
        <v>285</v>
      </c>
      <c r="K74" s="295"/>
      <c r="L74" s="391" t="str">
        <f aca="false">IF(V74&gt;0,"X","-")</f>
        <v>-</v>
      </c>
      <c r="M74" s="295"/>
      <c r="N74" s="295" t="s">
        <v>286</v>
      </c>
      <c r="O74" s="418" t="n">
        <v>0.35</v>
      </c>
      <c r="P74" s="415" t="n">
        <f aca="false">ROUND($P$60+($P$60*O74),2)</f>
        <v>422.19</v>
      </c>
      <c r="Q74" s="415"/>
      <c r="T74" s="316" t="n">
        <f aca="false">IF($I$60&gt;35,1,0)</f>
        <v>0</v>
      </c>
      <c r="U74" s="87" t="n">
        <f aca="false">IF($I$60&lt;=40,1,0)</f>
        <v>1</v>
      </c>
      <c r="V74" s="87" t="n">
        <f aca="false">T74*U74</f>
        <v>0</v>
      </c>
    </row>
    <row r="75" customFormat="false" ht="5.1" hidden="false" customHeight="true" outlineLevel="0" collapsed="false">
      <c r="B75" s="334"/>
      <c r="C75" s="335"/>
      <c r="D75" s="295"/>
      <c r="E75" s="295"/>
      <c r="F75" s="295"/>
      <c r="G75" s="295"/>
      <c r="H75" s="142"/>
      <c r="I75" s="142"/>
      <c r="J75" s="413"/>
      <c r="K75" s="295"/>
      <c r="L75" s="295"/>
      <c r="M75" s="295"/>
      <c r="N75" s="295"/>
      <c r="O75" s="418"/>
      <c r="P75" s="415"/>
      <c r="Q75" s="415"/>
    </row>
    <row r="76" customFormat="false" ht="13.2" hidden="false" customHeight="true" outlineLevel="0" collapsed="false">
      <c r="B76" s="334"/>
      <c r="C76" s="335"/>
      <c r="D76" s="295"/>
      <c r="E76" s="295"/>
      <c r="F76" s="295"/>
      <c r="G76" s="295"/>
      <c r="H76" s="142"/>
      <c r="I76" s="142"/>
      <c r="J76" s="413" t="s">
        <v>287</v>
      </c>
      <c r="K76" s="295"/>
      <c r="L76" s="391" t="str">
        <f aca="false">IF(V76&gt;0,"X","-")</f>
        <v>-</v>
      </c>
      <c r="M76" s="295"/>
      <c r="N76" s="295" t="s">
        <v>288</v>
      </c>
      <c r="O76" s="418" t="n">
        <v>0.4</v>
      </c>
      <c r="P76" s="415" t="n">
        <f aca="false">ROUND($P$60+($P$60*O76),2)</f>
        <v>437.82</v>
      </c>
      <c r="Q76" s="415"/>
      <c r="T76" s="316" t="n">
        <f aca="false">IF($I$60&gt;40,1,0)</f>
        <v>0</v>
      </c>
      <c r="U76" s="87" t="n">
        <f aca="false">IF($I$60&lt;=45,1,0)</f>
        <v>1</v>
      </c>
      <c r="V76" s="87" t="n">
        <f aca="false">T76*U76</f>
        <v>0</v>
      </c>
    </row>
    <row r="77" customFormat="false" ht="5.1" hidden="false" customHeight="true" outlineLevel="0" collapsed="false">
      <c r="B77" s="334"/>
      <c r="C77" s="335"/>
      <c r="D77" s="295"/>
      <c r="E77" s="295"/>
      <c r="F77" s="295"/>
      <c r="G77" s="295"/>
      <c r="H77" s="142"/>
      <c r="I77" s="142"/>
      <c r="J77" s="413"/>
      <c r="K77" s="295"/>
      <c r="L77" s="295"/>
      <c r="M77" s="295"/>
      <c r="N77" s="295"/>
      <c r="O77" s="418"/>
      <c r="P77" s="415"/>
      <c r="Q77" s="415"/>
    </row>
    <row r="78" customFormat="false" ht="13.2" hidden="false" customHeight="true" outlineLevel="0" collapsed="false">
      <c r="B78" s="334"/>
      <c r="C78" s="335"/>
      <c r="D78" s="295"/>
      <c r="E78" s="295"/>
      <c r="F78" s="295"/>
      <c r="G78" s="295"/>
      <c r="H78" s="142"/>
      <c r="I78" s="142"/>
      <c r="J78" s="413" t="s">
        <v>289</v>
      </c>
      <c r="K78" s="295"/>
      <c r="L78" s="391" t="str">
        <f aca="false">IF(V78&gt;0,"X","-")</f>
        <v>-</v>
      </c>
      <c r="M78" s="295"/>
      <c r="N78" s="295" t="s">
        <v>290</v>
      </c>
      <c r="O78" s="418" t="n">
        <v>0.45</v>
      </c>
      <c r="P78" s="415" t="n">
        <f aca="false">ROUND($P$60+($P$60*O78),2)</f>
        <v>453.46</v>
      </c>
      <c r="Q78" s="415"/>
      <c r="T78" s="316" t="n">
        <f aca="false">IF($I$60&gt;45,1,0)</f>
        <v>0</v>
      </c>
      <c r="U78" s="87" t="n">
        <f aca="false">IF($I$60&lt;=50,1,0)</f>
        <v>1</v>
      </c>
      <c r="V78" s="87" t="n">
        <f aca="false">T78*U78</f>
        <v>0</v>
      </c>
    </row>
    <row r="79" customFormat="false" ht="5.1" hidden="false" customHeight="true" outlineLevel="0" collapsed="false">
      <c r="B79" s="334"/>
      <c r="C79" s="335"/>
      <c r="D79" s="295"/>
      <c r="E79" s="295"/>
      <c r="F79" s="295"/>
      <c r="G79" s="295"/>
      <c r="H79" s="142"/>
      <c r="I79" s="142"/>
      <c r="J79" s="413"/>
      <c r="K79" s="295"/>
      <c r="L79" s="295"/>
      <c r="M79" s="295"/>
      <c r="N79" s="295"/>
      <c r="O79" s="418"/>
      <c r="P79" s="415"/>
      <c r="Q79" s="415"/>
    </row>
    <row r="80" customFormat="false" ht="13.2" hidden="false" customHeight="true" outlineLevel="0" collapsed="false">
      <c r="B80" s="334"/>
      <c r="C80" s="335"/>
      <c r="D80" s="295"/>
      <c r="E80" s="295"/>
      <c r="F80" s="295"/>
      <c r="G80" s="295"/>
      <c r="H80" s="142"/>
      <c r="I80" s="142"/>
      <c r="J80" s="413" t="s">
        <v>291</v>
      </c>
      <c r="K80" s="295"/>
      <c r="L80" s="391" t="str">
        <f aca="false">IF(V80&gt;0,"X","-")</f>
        <v>-</v>
      </c>
      <c r="M80" s="295"/>
      <c r="N80" s="295" t="s">
        <v>292</v>
      </c>
      <c r="O80" s="418" t="n">
        <v>0.5</v>
      </c>
      <c r="P80" s="415" t="n">
        <f aca="false">ROUND($P$60+($P$60*O80),2)</f>
        <v>469.1</v>
      </c>
      <c r="Q80" s="415"/>
      <c r="T80" s="316" t="n">
        <f aca="false">IF($I$60&gt;50,1,0)</f>
        <v>0</v>
      </c>
      <c r="U80" s="87" t="n">
        <v>1</v>
      </c>
      <c r="V80" s="87" t="n">
        <f aca="false">T80*U80</f>
        <v>0</v>
      </c>
    </row>
    <row r="81" customFormat="false" ht="8.25" hidden="false" customHeight="true" outlineLevel="0" collapsed="false">
      <c r="B81" s="334"/>
      <c r="C81" s="335"/>
      <c r="D81" s="295"/>
      <c r="E81" s="295"/>
      <c r="F81" s="295"/>
      <c r="G81" s="295"/>
      <c r="H81" s="142"/>
      <c r="I81" s="142"/>
      <c r="J81" s="295"/>
      <c r="K81" s="295"/>
      <c r="L81" s="295"/>
      <c r="M81" s="295"/>
      <c r="N81" s="142"/>
      <c r="O81" s="379"/>
      <c r="P81" s="419"/>
    </row>
    <row r="82" customFormat="false" ht="13.2" hidden="false" customHeight="true" outlineLevel="0" collapsed="false">
      <c r="B82" s="420"/>
      <c r="C82" s="257"/>
      <c r="D82" s="421"/>
      <c r="E82" s="421"/>
      <c r="F82" s="421"/>
      <c r="G82" s="421"/>
      <c r="H82" s="197"/>
      <c r="I82" s="197"/>
      <c r="J82" s="197"/>
      <c r="K82" s="197"/>
      <c r="L82" s="197"/>
      <c r="M82" s="197"/>
      <c r="N82" s="422" t="s">
        <v>293</v>
      </c>
      <c r="O82" s="423" t="n">
        <f aca="false">VLOOKUP("X",L60:P80,5,FALSE())</f>
        <v>312.7311</v>
      </c>
    </row>
  </sheetData>
  <sheetProtection sheet="true" objects="true" scenarios="true"/>
  <mergeCells count="20">
    <mergeCell ref="A1:O1"/>
    <mergeCell ref="A2:O2"/>
    <mergeCell ref="B4:O4"/>
    <mergeCell ref="B5:O5"/>
    <mergeCell ref="D6:E6"/>
    <mergeCell ref="F6:K6"/>
    <mergeCell ref="M6:N6"/>
    <mergeCell ref="D8:O8"/>
    <mergeCell ref="E11:G11"/>
    <mergeCell ref="E14:G14"/>
    <mergeCell ref="E15:G15"/>
    <mergeCell ref="E16:G16"/>
    <mergeCell ref="E17:G17"/>
    <mergeCell ref="E18:G18"/>
    <mergeCell ref="E19:G19"/>
    <mergeCell ref="D23:O23"/>
    <mergeCell ref="D39:O39"/>
    <mergeCell ref="D43:I45"/>
    <mergeCell ref="D46:I48"/>
    <mergeCell ref="D57:O57"/>
  </mergeCells>
  <printOptions headings="false" gridLines="false" gridLinesSet="true" horizontalCentered="true" verticalCentered="false"/>
  <pageMargins left="0.7875" right="0.7875" top="0.984027777777778" bottom="0.983333333333333" header="0.511811023622047" footer="0.511805555555556"/>
  <pageSetup paperSize="8" scale="100" fitToWidth="1" fitToHeight="1" pageOrder="downThenOver" orientation="landscape" blackAndWhite="false" draft="false" cellComments="none" horizontalDpi="300" verticalDpi="300" copies="1"/>
  <headerFooter differentFirst="false" differentOddEven="false">
    <oddHeader/>
    <oddFooter>&amp;L&amp;F&amp;C&amp;A
&amp;D&amp;Rultima revisione marzo 2022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3"/>
  <sheetViews>
    <sheetView showFormulas="false" showGridLines="true" showRowColHeaders="true" showZeros="true" rightToLeft="false" tabSelected="false" showOutlineSymbols="true" defaultGridColor="true" view="normal" topLeftCell="A1" colorId="64" zoomScale="82" zoomScaleNormal="82" zoomScalePageLayoutView="100" workbookViewId="0">
      <selection pane="topLeft" activeCell="C7" activeCellId="0" sqref="C7"/>
    </sheetView>
  </sheetViews>
  <sheetFormatPr defaultColWidth="8.625" defaultRowHeight="12.75" zeroHeight="false" outlineLevelRow="0" outlineLevelCol="0"/>
  <cols>
    <col collapsed="false" customWidth="true" hidden="false" outlineLevel="0" max="1" min="1" style="1" width="28.48"/>
    <col collapsed="false" customWidth="true" hidden="false" outlineLevel="0" max="2" min="2" style="1" width="18.49"/>
    <col collapsed="false" customWidth="true" hidden="false" outlineLevel="0" max="3" min="3" style="1" width="25.51"/>
    <col collapsed="false" customWidth="true" hidden="false" outlineLevel="0" max="4" min="4" style="1" width="18.49"/>
    <col collapsed="false" customWidth="true" hidden="false" outlineLevel="0" max="5" min="5" style="1" width="25.51"/>
    <col collapsed="false" customWidth="true" hidden="false" outlineLevel="0" max="6" min="6" style="1" width="18.49"/>
    <col collapsed="false" customWidth="true" hidden="false" outlineLevel="0" max="8" min="8" style="1" width="17.73"/>
  </cols>
  <sheetData>
    <row r="1" customFormat="false" ht="18" hidden="false" customHeight="true" outlineLevel="0" collapsed="false">
      <c r="A1" s="4" t="s">
        <v>23</v>
      </c>
      <c r="B1" s="4"/>
      <c r="C1" s="4"/>
      <c r="D1" s="4"/>
      <c r="E1" s="4"/>
      <c r="F1" s="4"/>
    </row>
    <row r="2" customFormat="false" ht="15.75" hidden="false" customHeight="true" outlineLevel="0" collapsed="false">
      <c r="A2" s="23" t="s">
        <v>24</v>
      </c>
      <c r="B2" s="23"/>
      <c r="C2" s="23"/>
      <c r="D2" s="23"/>
      <c r="E2" s="23"/>
      <c r="F2" s="23"/>
      <c r="G2" s="24" t="n">
        <f aca="false">1+F4</f>
        <v>1.016</v>
      </c>
      <c r="H2" s="25"/>
    </row>
    <row r="3" customFormat="false" ht="14.7" hidden="false" customHeight="true" outlineLevel="0" collapsed="false">
      <c r="A3" s="10" t="s">
        <v>25</v>
      </c>
      <c r="B3" s="11" t="n">
        <f aca="false">'A - RIFERIMENTO'!I6</f>
        <v>14.38656</v>
      </c>
      <c r="C3" s="8" t="s">
        <v>26</v>
      </c>
      <c r="D3" s="11" t="n">
        <f aca="false">'A - RIFERIMENTO'!I7</f>
        <v>41.5544</v>
      </c>
      <c r="E3" s="8" t="s">
        <v>27</v>
      </c>
      <c r="F3" s="10" t="n">
        <f aca="false">ROUND((B3+D3),2)</f>
        <v>55.94</v>
      </c>
    </row>
    <row r="4" customFormat="false" ht="12" hidden="false" customHeight="true" outlineLevel="0" collapsed="false">
      <c r="A4" s="8"/>
      <c r="B4" s="26"/>
      <c r="C4" s="26"/>
      <c r="D4" s="27" t="s">
        <v>28</v>
      </c>
      <c r="E4" s="27"/>
      <c r="F4" s="28" t="n">
        <v>0.016</v>
      </c>
    </row>
    <row r="5" customFormat="false" ht="12" hidden="false" customHeight="true" outlineLevel="0" collapsed="false">
      <c r="A5" s="14"/>
      <c r="B5" s="14"/>
      <c r="C5" s="14"/>
      <c r="D5" s="14"/>
      <c r="E5" s="14"/>
      <c r="F5" s="12" t="s">
        <v>7</v>
      </c>
    </row>
    <row r="6" customFormat="false" ht="15" hidden="false" customHeight="true" outlineLevel="0" collapsed="false">
      <c r="A6" s="29"/>
      <c r="B6" s="30" t="s">
        <v>29</v>
      </c>
      <c r="C6" s="30"/>
      <c r="D6" s="30"/>
      <c r="E6" s="31" t="s">
        <v>30</v>
      </c>
      <c r="F6" s="31"/>
    </row>
    <row r="7" customFormat="false" ht="24" hidden="false" customHeight="true" outlineLevel="0" collapsed="false">
      <c r="A7" s="10" t="s">
        <v>31</v>
      </c>
      <c r="B7" s="10" t="s">
        <v>12</v>
      </c>
      <c r="C7" s="19" t="n">
        <f aca="false">B3*0.3</f>
        <v>4.315968</v>
      </c>
      <c r="D7" s="32" t="n">
        <v>3.5</v>
      </c>
      <c r="E7" s="7"/>
      <c r="F7" s="16" t="n">
        <f aca="false">C7+C8</f>
        <v>16.782288</v>
      </c>
    </row>
    <row r="8" customFormat="false" ht="24" hidden="false" customHeight="true" outlineLevel="0" collapsed="false">
      <c r="A8" s="10"/>
      <c r="B8" s="10" t="s">
        <v>14</v>
      </c>
      <c r="C8" s="19" t="n">
        <f aca="false">D3*0.3</f>
        <v>12.46632</v>
      </c>
      <c r="D8" s="32" t="n">
        <v>10.12</v>
      </c>
      <c r="E8" s="7"/>
      <c r="F8" s="16"/>
    </row>
    <row r="9" customFormat="false" ht="15" hidden="false" customHeight="true" outlineLevel="0" collapsed="false">
      <c r="A9" s="29"/>
      <c r="B9" s="30" t="s">
        <v>32</v>
      </c>
      <c r="C9" s="30"/>
      <c r="D9" s="30"/>
      <c r="E9" s="31" t="s">
        <v>30</v>
      </c>
      <c r="F9" s="31"/>
    </row>
    <row r="10" customFormat="false" ht="24" hidden="false" customHeight="true" outlineLevel="0" collapsed="false">
      <c r="A10" s="33" t="s">
        <v>33</v>
      </c>
      <c r="B10" s="33" t="s">
        <v>12</v>
      </c>
      <c r="C10" s="19" t="n">
        <f aca="false">B3*0.3</f>
        <v>4.315968</v>
      </c>
      <c r="D10" s="32" t="n">
        <v>3.5</v>
      </c>
      <c r="E10" s="22"/>
      <c r="F10" s="16" t="n">
        <f aca="false">C10+C11</f>
        <v>16.782288</v>
      </c>
      <c r="G10" s="34"/>
    </row>
    <row r="11" customFormat="false" ht="24" hidden="false" customHeight="true" outlineLevel="0" collapsed="false">
      <c r="A11" s="33"/>
      <c r="B11" s="33" t="s">
        <v>14</v>
      </c>
      <c r="C11" s="19" t="n">
        <f aca="false">D3*0.3</f>
        <v>12.46632</v>
      </c>
      <c r="D11" s="32" t="n">
        <v>10.12</v>
      </c>
      <c r="E11" s="22"/>
      <c r="F11" s="16"/>
      <c r="G11" s="34"/>
    </row>
    <row r="12" customFormat="false" ht="15" hidden="false" customHeight="true" outlineLevel="0" collapsed="false">
      <c r="A12" s="35"/>
      <c r="B12" s="36" t="s">
        <v>34</v>
      </c>
      <c r="C12" s="36"/>
      <c r="D12" s="36"/>
      <c r="E12" s="37" t="s">
        <v>30</v>
      </c>
      <c r="F12" s="37"/>
      <c r="G12" s="34"/>
    </row>
    <row r="13" customFormat="false" ht="24" hidden="false" customHeight="true" outlineLevel="0" collapsed="false">
      <c r="A13" s="33" t="s">
        <v>35</v>
      </c>
      <c r="B13" s="33" t="s">
        <v>12</v>
      </c>
      <c r="C13" s="19" t="n">
        <f aca="false">B3*1.2</f>
        <v>17.263872</v>
      </c>
      <c r="D13" s="32" t="n">
        <v>3.5</v>
      </c>
      <c r="E13" s="22"/>
      <c r="F13" s="16" t="n">
        <f aca="false">C13+C14</f>
        <v>67.129152</v>
      </c>
      <c r="G13" s="34"/>
    </row>
    <row r="14" customFormat="false" ht="24" hidden="false" customHeight="true" outlineLevel="0" collapsed="false">
      <c r="A14" s="33"/>
      <c r="B14" s="33" t="s">
        <v>14</v>
      </c>
      <c r="C14" s="19" t="n">
        <f aca="false">D3*1.2</f>
        <v>49.86528</v>
      </c>
      <c r="D14" s="32" t="n">
        <v>10.12</v>
      </c>
      <c r="E14" s="22"/>
      <c r="F14" s="16"/>
      <c r="G14" s="34"/>
    </row>
    <row r="15" customFormat="false" ht="15" hidden="false" customHeight="true" outlineLevel="0" collapsed="false">
      <c r="A15" s="29"/>
      <c r="B15" s="30" t="s">
        <v>36</v>
      </c>
      <c r="C15" s="30"/>
      <c r="D15" s="30"/>
      <c r="E15" s="31" t="s">
        <v>37</v>
      </c>
      <c r="F15" s="31"/>
    </row>
    <row r="16" customFormat="false" ht="24" hidden="false" customHeight="true" outlineLevel="0" collapsed="false">
      <c r="A16" s="33" t="s">
        <v>38</v>
      </c>
      <c r="B16" s="33" t="s">
        <v>12</v>
      </c>
      <c r="C16" s="19" t="n">
        <f aca="false">B3*0.3*1.9</f>
        <v>8.2003392</v>
      </c>
      <c r="D16" s="32" t="n">
        <v>3.5</v>
      </c>
      <c r="E16" s="22"/>
      <c r="F16" s="16" t="n">
        <f aca="false">C16+C17</f>
        <v>31.8863472</v>
      </c>
      <c r="G16" s="34"/>
    </row>
    <row r="17" customFormat="false" ht="24" hidden="false" customHeight="true" outlineLevel="0" collapsed="false">
      <c r="A17" s="33"/>
      <c r="B17" s="33" t="s">
        <v>14</v>
      </c>
      <c r="C17" s="19" t="n">
        <f aca="false">D3*0.3*1.9</f>
        <v>23.686008</v>
      </c>
      <c r="D17" s="32" t="n">
        <v>10.12</v>
      </c>
      <c r="E17" s="22"/>
      <c r="F17" s="16"/>
      <c r="G17" s="34"/>
    </row>
    <row r="18" customFormat="false" ht="15" hidden="false" customHeight="true" outlineLevel="0" collapsed="false">
      <c r="A18" s="29"/>
      <c r="B18" s="30" t="s">
        <v>39</v>
      </c>
      <c r="C18" s="30"/>
      <c r="D18" s="30"/>
      <c r="E18" s="31" t="s">
        <v>40</v>
      </c>
      <c r="F18" s="31"/>
    </row>
    <row r="19" customFormat="false" ht="24" hidden="false" customHeight="true" outlineLevel="0" collapsed="false">
      <c r="A19" s="10" t="s">
        <v>41</v>
      </c>
      <c r="B19" s="10" t="s">
        <v>12</v>
      </c>
      <c r="C19" s="19" t="n">
        <f aca="false">B3*0.8</f>
        <v>11.509248</v>
      </c>
      <c r="D19" s="32" t="n">
        <v>11.2</v>
      </c>
      <c r="E19" s="7"/>
      <c r="F19" s="16" t="n">
        <f aca="false">C19+C20</f>
        <v>44.752768</v>
      </c>
    </row>
    <row r="20" customFormat="false" ht="24" hidden="false" customHeight="true" outlineLevel="0" collapsed="false">
      <c r="A20" s="10"/>
      <c r="B20" s="10" t="s">
        <v>14</v>
      </c>
      <c r="C20" s="19" t="n">
        <f aca="false">D3*0.8</f>
        <v>33.24352</v>
      </c>
      <c r="D20" s="32" t="n">
        <v>32.39</v>
      </c>
      <c r="E20" s="7"/>
      <c r="F20" s="16"/>
    </row>
    <row r="21" customFormat="false" ht="15" hidden="false" customHeight="true" outlineLevel="0" collapsed="false">
      <c r="A21" s="29"/>
      <c r="B21" s="30" t="s">
        <v>39</v>
      </c>
      <c r="C21" s="30"/>
      <c r="D21" s="30"/>
      <c r="E21" s="31" t="s">
        <v>42</v>
      </c>
      <c r="F21" s="31"/>
    </row>
    <row r="22" customFormat="false" ht="24" hidden="false" customHeight="true" outlineLevel="0" collapsed="false">
      <c r="A22" s="10" t="s">
        <v>43</v>
      </c>
      <c r="B22" s="10" t="s">
        <v>12</v>
      </c>
      <c r="C22" s="19" t="n">
        <f aca="false">B3*0.8*1.4</f>
        <v>16.1129472</v>
      </c>
      <c r="D22" s="32" t="n">
        <v>13.07</v>
      </c>
      <c r="E22" s="7"/>
      <c r="F22" s="16" t="n">
        <f aca="false">C22+C23</f>
        <v>62.6538752</v>
      </c>
    </row>
    <row r="23" customFormat="false" ht="24" hidden="false" customHeight="true" outlineLevel="0" collapsed="false">
      <c r="A23" s="10"/>
      <c r="B23" s="10" t="s">
        <v>14</v>
      </c>
      <c r="C23" s="19" t="n">
        <f aca="false">D3*0.8*1.4</f>
        <v>46.540928</v>
      </c>
      <c r="D23" s="32" t="n">
        <v>37.78</v>
      </c>
      <c r="E23" s="7"/>
      <c r="F23" s="16"/>
    </row>
    <row r="24" customFormat="false" ht="15" hidden="false" customHeight="true" outlineLevel="0" collapsed="false">
      <c r="A24" s="29"/>
      <c r="B24" s="30" t="s">
        <v>34</v>
      </c>
      <c r="C24" s="30"/>
      <c r="D24" s="30"/>
      <c r="E24" s="31" t="s">
        <v>44</v>
      </c>
      <c r="F24" s="31"/>
    </row>
    <row r="25" customFormat="false" ht="24" hidden="false" customHeight="true" outlineLevel="0" collapsed="false">
      <c r="A25" s="10" t="s">
        <v>45</v>
      </c>
      <c r="B25" s="10" t="s">
        <v>12</v>
      </c>
      <c r="C25" s="19" t="n">
        <f aca="false">B3*1.2*1.3</f>
        <v>22.4430336</v>
      </c>
      <c r="D25" s="32" t="n">
        <v>18.2</v>
      </c>
      <c r="E25" s="7"/>
      <c r="F25" s="16" t="n">
        <f aca="false">C25+C26</f>
        <v>87.2678976</v>
      </c>
    </row>
    <row r="26" customFormat="false" ht="24" hidden="false" customHeight="true" outlineLevel="0" collapsed="false">
      <c r="A26" s="10"/>
      <c r="B26" s="10" t="s">
        <v>14</v>
      </c>
      <c r="C26" s="19" t="n">
        <f aca="false">D3*1.2*1.3</f>
        <v>64.824864</v>
      </c>
      <c r="D26" s="32" t="n">
        <v>52.63</v>
      </c>
      <c r="E26" s="7"/>
      <c r="F26" s="16"/>
    </row>
    <row r="27" customFormat="false" ht="15" hidden="false" customHeight="true" outlineLevel="0" collapsed="false">
      <c r="A27" s="29"/>
      <c r="B27" s="30" t="s">
        <v>46</v>
      </c>
      <c r="C27" s="30"/>
      <c r="D27" s="30"/>
      <c r="E27" s="31" t="s">
        <v>44</v>
      </c>
      <c r="F27" s="31"/>
    </row>
    <row r="28" customFormat="false" ht="24" hidden="false" customHeight="true" outlineLevel="0" collapsed="false">
      <c r="A28" s="10" t="s">
        <v>47</v>
      </c>
      <c r="B28" s="10" t="s">
        <v>12</v>
      </c>
      <c r="C28" s="19" t="n">
        <f aca="false">B3*1*1.3</f>
        <v>18.702528</v>
      </c>
      <c r="D28" s="32" t="n">
        <v>15.17</v>
      </c>
      <c r="E28" s="7"/>
      <c r="F28" s="16" t="n">
        <f aca="false">C28+C29</f>
        <v>72.723248</v>
      </c>
    </row>
    <row r="29" customFormat="false" ht="24" hidden="false" customHeight="true" outlineLevel="0" collapsed="false">
      <c r="A29" s="10"/>
      <c r="B29" s="10" t="s">
        <v>14</v>
      </c>
      <c r="C29" s="19" t="n">
        <f aca="false">D3*1*1.3</f>
        <v>54.02072</v>
      </c>
      <c r="D29" s="32" t="n">
        <v>43.86</v>
      </c>
      <c r="E29" s="7"/>
      <c r="F29" s="16"/>
    </row>
    <row r="30" customFormat="false" ht="15" hidden="false" customHeight="true" outlineLevel="0" collapsed="false">
      <c r="A30" s="29"/>
      <c r="B30" s="30" t="s">
        <v>48</v>
      </c>
      <c r="C30" s="30"/>
      <c r="D30" s="30"/>
      <c r="E30" s="31" t="s">
        <v>44</v>
      </c>
      <c r="F30" s="31"/>
    </row>
    <row r="31" customFormat="false" ht="24" hidden="false" customHeight="true" outlineLevel="0" collapsed="false">
      <c r="A31" s="10" t="s">
        <v>49</v>
      </c>
      <c r="B31" s="10" t="s">
        <v>12</v>
      </c>
      <c r="C31" s="19" t="n">
        <f aca="false">B3*0.9*1.3</f>
        <v>16.8322752</v>
      </c>
      <c r="D31" s="32" t="n">
        <v>13.65</v>
      </c>
      <c r="E31" s="7"/>
      <c r="F31" s="16" t="n">
        <f aca="false">C31+C32</f>
        <v>65.4509232</v>
      </c>
    </row>
    <row r="32" customFormat="false" ht="24" hidden="false" customHeight="true" outlineLevel="0" collapsed="false">
      <c r="A32" s="10"/>
      <c r="B32" s="10" t="s">
        <v>14</v>
      </c>
      <c r="C32" s="19" t="n">
        <f aca="false">D3*0.9*1.3</f>
        <v>48.618648</v>
      </c>
      <c r="D32" s="32" t="n">
        <v>39.47</v>
      </c>
      <c r="E32" s="7"/>
      <c r="F32" s="16"/>
    </row>
    <row r="33" customFormat="false" ht="35.4" hidden="false" customHeight="true" outlineLevel="0" collapsed="false">
      <c r="A33" s="38" t="s">
        <v>50</v>
      </c>
      <c r="B33" s="38"/>
      <c r="C33" s="38"/>
      <c r="D33" s="38"/>
      <c r="E33" s="38"/>
      <c r="F33" s="38"/>
    </row>
  </sheetData>
  <sheetProtection sheet="true" objects="true" scenarios="true"/>
  <mergeCells count="41">
    <mergeCell ref="A1:F1"/>
    <mergeCell ref="A2:F2"/>
    <mergeCell ref="D4:E4"/>
    <mergeCell ref="A5:E5"/>
    <mergeCell ref="B6:D6"/>
    <mergeCell ref="E6:F6"/>
    <mergeCell ref="A7:A8"/>
    <mergeCell ref="F7:F8"/>
    <mergeCell ref="B9:D9"/>
    <mergeCell ref="E9:F9"/>
    <mergeCell ref="A10:A11"/>
    <mergeCell ref="F10:F11"/>
    <mergeCell ref="B12:D12"/>
    <mergeCell ref="E12:F12"/>
    <mergeCell ref="A13:A14"/>
    <mergeCell ref="F13:F14"/>
    <mergeCell ref="B15:D15"/>
    <mergeCell ref="E15:F15"/>
    <mergeCell ref="A16:A17"/>
    <mergeCell ref="F16:F17"/>
    <mergeCell ref="B18:D18"/>
    <mergeCell ref="E18:F18"/>
    <mergeCell ref="A19:A20"/>
    <mergeCell ref="F19:F20"/>
    <mergeCell ref="B21:D21"/>
    <mergeCell ref="E21:F21"/>
    <mergeCell ref="A22:A23"/>
    <mergeCell ref="F22:F23"/>
    <mergeCell ref="B24:D24"/>
    <mergeCell ref="E24:F24"/>
    <mergeCell ref="A25:A26"/>
    <mergeCell ref="F25:F26"/>
    <mergeCell ref="B27:D27"/>
    <mergeCell ref="E27:F27"/>
    <mergeCell ref="A28:A29"/>
    <mergeCell ref="F28:F29"/>
    <mergeCell ref="B30:D30"/>
    <mergeCell ref="E30:F30"/>
    <mergeCell ref="A31:A32"/>
    <mergeCell ref="F31:F32"/>
    <mergeCell ref="A33:F33"/>
  </mergeCells>
  <printOptions headings="false" gridLines="false" gridLinesSet="true" horizontalCentered="true" verticalCentered="false"/>
  <pageMargins left="0.7875" right="0.7875" top="1.05277777777778" bottom="1.05277777777778" header="0.7875" footer="0.7875"/>
  <pageSetup paperSize="8" scale="100" fitToWidth="1" fitToHeight="1" pageOrder="downThenOver" orientation="landscape" blackAndWhite="false" draft="false" cellComments="none" horizontalDpi="300" verticalDpi="300" copies="1"/>
  <headerFooter differentFirst="false" differentOddEven="false">
    <oddHeader>&amp;C&amp;"Times New Roman,Normale"&amp;12&amp;A</oddHeader>
    <oddFooter>&amp;C&amp;"Times New Roman,Normale"&amp;12Pagina &amp;P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635"/>
  <sheetViews>
    <sheetView showFormulas="false" showGridLines="false" showRowColHeaders="true" showZeros="true" rightToLeft="false" tabSelected="false" showOutlineSymbols="true" defaultGridColor="true" view="normal" topLeftCell="B1" colorId="64" zoomScale="150" zoomScaleNormal="150" zoomScalePageLayoutView="100" workbookViewId="0">
      <selection pane="topLeft" activeCell="P35" activeCellId="0" sqref="P35"/>
    </sheetView>
  </sheetViews>
  <sheetFormatPr defaultColWidth="8.5078125" defaultRowHeight="14.65" zeroHeight="false" outlineLevelRow="0" outlineLevelCol="0"/>
  <cols>
    <col collapsed="false" customWidth="true" hidden="false" outlineLevel="0" max="1" min="1" style="424" width="4.34"/>
    <col collapsed="false" customWidth="true" hidden="false" outlineLevel="0" max="2" min="2" style="205" width="19.34"/>
    <col collapsed="false" customWidth="true" hidden="false" outlineLevel="0" max="3" min="3" style="87" width="2.34"/>
    <col collapsed="false" customWidth="true" hidden="false" outlineLevel="0" max="4" min="4" style="87" width="4.34"/>
    <col collapsed="false" customWidth="true" hidden="false" outlineLevel="0" max="5" min="5" style="87" width="4.48"/>
    <col collapsed="false" customWidth="true" hidden="false" outlineLevel="0" max="6" min="6" style="87" width="14.34"/>
    <col collapsed="false" customWidth="true" hidden="false" outlineLevel="0" max="7" min="7" style="87" width="2.57"/>
    <col collapsed="false" customWidth="true" hidden="false" outlineLevel="0" max="8" min="8" style="87" width="4.34"/>
    <col collapsed="false" customWidth="true" hidden="false" outlineLevel="0" max="9" min="9" style="87" width="2.34"/>
    <col collapsed="false" customWidth="true" hidden="false" outlineLevel="0" max="10" min="10" style="87" width="4.34"/>
    <col collapsed="false" customWidth="true" hidden="false" outlineLevel="0" max="11" min="11" style="87" width="8.34"/>
    <col collapsed="false" customWidth="true" hidden="false" outlineLevel="0" max="12" min="12" style="87" width="8.78"/>
    <col collapsed="false" customWidth="true" hidden="false" outlineLevel="0" max="13" min="13" style="316" width="9.57"/>
    <col collapsed="false" customWidth="true" hidden="false" outlineLevel="0" max="14" min="14" style="425" width="9.79"/>
    <col collapsed="false" customWidth="true" hidden="false" outlineLevel="0" max="15" min="15" style="425" width="6.51"/>
    <col collapsed="false" customWidth="true" hidden="false" outlineLevel="0" max="16" min="16" style="425" width="9.34"/>
    <col collapsed="false" customWidth="false" hidden="false" outlineLevel="0" max="18" min="17" style="425" width="8.49"/>
    <col collapsed="false" customWidth="false" hidden="false" outlineLevel="0" max="257" min="19" style="1" width="8.49"/>
  </cols>
  <sheetData>
    <row r="1" customFormat="false" ht="14.65" hidden="false" customHeight="true" outlineLevel="0" collapsed="false">
      <c r="A1" s="426" t="s">
        <v>159</v>
      </c>
      <c r="B1" s="426"/>
      <c r="C1" s="426"/>
      <c r="D1" s="426"/>
      <c r="E1" s="426"/>
      <c r="F1" s="426"/>
      <c r="G1" s="426"/>
      <c r="H1" s="426"/>
      <c r="I1" s="426"/>
      <c r="J1" s="426"/>
      <c r="K1" s="426"/>
      <c r="L1" s="426"/>
      <c r="M1" s="321"/>
    </row>
    <row r="2" customFormat="false" ht="17.25" hidden="false" customHeight="true" outlineLevel="0" collapsed="false">
      <c r="A2" s="427" t="s">
        <v>294</v>
      </c>
      <c r="B2" s="427"/>
      <c r="C2" s="427"/>
      <c r="D2" s="427"/>
      <c r="E2" s="427"/>
      <c r="F2" s="427"/>
      <c r="G2" s="427"/>
      <c r="H2" s="427"/>
      <c r="I2" s="427"/>
      <c r="J2" s="427"/>
      <c r="K2" s="427"/>
      <c r="L2" s="427"/>
      <c r="M2" s="321"/>
    </row>
    <row r="3" customFormat="false" ht="6" hidden="false" customHeight="true" outlineLevel="0" collapsed="false">
      <c r="A3" s="428"/>
      <c r="B3" s="428"/>
      <c r="C3" s="428"/>
      <c r="D3" s="428"/>
      <c r="E3" s="428"/>
      <c r="F3" s="428"/>
      <c r="G3" s="428"/>
      <c r="H3" s="428"/>
      <c r="I3" s="428"/>
      <c r="J3" s="428"/>
      <c r="K3" s="428"/>
      <c r="L3" s="428"/>
      <c r="M3" s="321"/>
    </row>
    <row r="4" s="112" customFormat="true" ht="19.5" hidden="false" customHeight="true" outlineLevel="0" collapsed="false">
      <c r="A4" s="429" t="s">
        <v>295</v>
      </c>
      <c r="B4" s="429"/>
      <c r="C4" s="429"/>
      <c r="D4" s="429"/>
      <c r="E4" s="429"/>
      <c r="F4" s="429"/>
      <c r="G4" s="429"/>
      <c r="H4" s="429"/>
      <c r="I4" s="429"/>
      <c r="J4" s="429"/>
      <c r="K4" s="429"/>
      <c r="L4" s="429"/>
      <c r="M4" s="430"/>
      <c r="N4" s="118"/>
      <c r="O4" s="118"/>
      <c r="P4" s="118"/>
      <c r="Q4" s="118"/>
      <c r="R4" s="118"/>
    </row>
    <row r="5" customFormat="false" ht="18" hidden="false" customHeight="true" outlineLevel="0" collapsed="false">
      <c r="A5" s="322" t="s">
        <v>296</v>
      </c>
      <c r="B5" s="322"/>
      <c r="C5" s="322"/>
      <c r="D5" s="322"/>
      <c r="E5" s="322"/>
      <c r="F5" s="322"/>
      <c r="G5" s="322"/>
      <c r="H5" s="322"/>
      <c r="I5" s="322"/>
      <c r="J5" s="322"/>
      <c r="K5" s="322"/>
      <c r="L5" s="322"/>
      <c r="M5" s="431"/>
    </row>
    <row r="6" s="112" customFormat="true" ht="18.15" hidden="false" customHeight="true" outlineLevel="0" collapsed="false">
      <c r="A6" s="432" t="s">
        <v>161</v>
      </c>
      <c r="B6" s="433"/>
      <c r="C6" s="433"/>
      <c r="D6" s="433"/>
      <c r="E6" s="433"/>
      <c r="F6" s="434" t="s">
        <v>162</v>
      </c>
      <c r="G6" s="435"/>
      <c r="H6" s="435"/>
      <c r="I6" s="123"/>
      <c r="J6" s="436"/>
      <c r="K6" s="434" t="s">
        <v>297</v>
      </c>
      <c r="L6" s="437"/>
      <c r="M6" s="430"/>
      <c r="N6" s="118"/>
      <c r="O6" s="118"/>
      <c r="P6" s="118"/>
      <c r="Q6" s="118"/>
      <c r="R6" s="118"/>
    </row>
    <row r="7" s="112" customFormat="true" ht="9.75" hidden="false" customHeight="true" outlineLevel="0" collapsed="false">
      <c r="A7" s="438"/>
      <c r="B7" s="439"/>
      <c r="C7" s="440"/>
      <c r="D7" s="440"/>
      <c r="E7" s="123"/>
      <c r="F7" s="440"/>
      <c r="G7" s="434"/>
      <c r="H7" s="440"/>
      <c r="I7" s="123"/>
      <c r="J7" s="434"/>
      <c r="K7" s="441"/>
      <c r="L7" s="441"/>
      <c r="M7" s="430"/>
      <c r="N7" s="118"/>
      <c r="O7" s="118"/>
      <c r="P7" s="118"/>
      <c r="Q7" s="118"/>
      <c r="R7" s="118"/>
    </row>
    <row r="8" customFormat="false" ht="12.75" hidden="false" customHeight="true" outlineLevel="0" collapsed="false">
      <c r="A8" s="442" t="s">
        <v>298</v>
      </c>
      <c r="B8" s="442"/>
      <c r="C8" s="442"/>
      <c r="D8" s="442"/>
      <c r="E8" s="442"/>
      <c r="F8" s="442"/>
      <c r="G8" s="442"/>
      <c r="H8" s="442"/>
      <c r="I8" s="442"/>
      <c r="J8" s="442"/>
      <c r="K8" s="442"/>
      <c r="L8" s="442"/>
      <c r="M8" s="318"/>
    </row>
    <row r="9" customFormat="false" ht="9" hidden="false" customHeight="true" outlineLevel="0" collapsed="false">
      <c r="A9" s="443"/>
      <c r="B9" s="444"/>
      <c r="C9" s="101"/>
      <c r="D9" s="101"/>
      <c r="E9" s="101"/>
      <c r="F9" s="101"/>
      <c r="G9" s="101"/>
      <c r="H9" s="101"/>
      <c r="I9" s="101"/>
      <c r="J9" s="101"/>
      <c r="K9" s="101"/>
      <c r="L9" s="445"/>
    </row>
    <row r="10" customFormat="false" ht="12.75" hidden="false" customHeight="true" outlineLevel="0" collapsed="false">
      <c r="A10" s="443"/>
      <c r="B10" s="446" t="s">
        <v>299</v>
      </c>
      <c r="C10" s="101"/>
      <c r="D10" s="101"/>
      <c r="E10" s="101"/>
      <c r="F10" s="101"/>
      <c r="G10" s="101"/>
      <c r="H10" s="101"/>
      <c r="I10" s="101"/>
      <c r="J10" s="101"/>
      <c r="K10" s="447"/>
      <c r="L10" s="448"/>
    </row>
    <row r="11" customFormat="false" ht="9" hidden="false" customHeight="true" outlineLevel="0" collapsed="false">
      <c r="A11" s="443"/>
      <c r="B11" s="444"/>
      <c r="C11" s="101"/>
      <c r="D11" s="101"/>
      <c r="E11" s="101"/>
      <c r="F11" s="101"/>
      <c r="G11" s="101"/>
      <c r="H11" s="101"/>
      <c r="I11" s="101"/>
      <c r="J11" s="101"/>
      <c r="K11" s="449"/>
      <c r="L11" s="448"/>
    </row>
    <row r="12" customFormat="false" ht="12.75" hidden="false" customHeight="true" outlineLevel="0" collapsed="false">
      <c r="A12" s="443"/>
      <c r="B12" s="446" t="s">
        <v>300</v>
      </c>
      <c r="C12" s="101"/>
      <c r="D12" s="101"/>
      <c r="E12" s="101"/>
      <c r="F12" s="101"/>
      <c r="G12" s="101"/>
      <c r="H12" s="101"/>
      <c r="I12" s="101"/>
      <c r="J12" s="101"/>
      <c r="K12" s="447"/>
      <c r="L12" s="448"/>
    </row>
    <row r="13" customFormat="false" ht="6.75" hidden="false" customHeight="true" outlineLevel="0" collapsed="false">
      <c r="A13" s="443"/>
      <c r="B13" s="444"/>
      <c r="C13" s="101"/>
      <c r="D13" s="101"/>
      <c r="E13" s="101"/>
      <c r="F13" s="101"/>
      <c r="G13" s="101"/>
      <c r="H13" s="101"/>
      <c r="I13" s="101"/>
      <c r="J13" s="101"/>
      <c r="K13" s="101"/>
      <c r="L13" s="450"/>
    </row>
    <row r="14" customFormat="false" ht="12.75" hidden="false" customHeight="true" outlineLevel="0" collapsed="false">
      <c r="A14" s="443" t="s">
        <v>301</v>
      </c>
      <c r="B14" s="101" t="s">
        <v>302</v>
      </c>
      <c r="C14" s="101"/>
      <c r="D14" s="101"/>
      <c r="E14" s="101"/>
      <c r="F14" s="101"/>
      <c r="G14" s="101"/>
      <c r="H14" s="101"/>
      <c r="I14" s="101"/>
      <c r="J14" s="444" t="s">
        <v>205</v>
      </c>
      <c r="K14" s="447"/>
      <c r="L14" s="448"/>
      <c r="M14" s="318"/>
    </row>
    <row r="15" customFormat="false" ht="9" hidden="false" customHeight="true" outlineLevel="0" collapsed="false">
      <c r="A15" s="443"/>
      <c r="B15" s="101"/>
      <c r="C15" s="101"/>
      <c r="D15" s="101"/>
      <c r="E15" s="101"/>
      <c r="F15" s="101"/>
      <c r="G15" s="101"/>
      <c r="H15" s="101"/>
      <c r="I15" s="101"/>
      <c r="J15" s="444"/>
      <c r="K15" s="101"/>
      <c r="L15" s="450"/>
      <c r="M15" s="318"/>
    </row>
    <row r="16" customFormat="false" ht="12.75" hidden="false" customHeight="true" outlineLevel="0" collapsed="false">
      <c r="A16" s="443"/>
      <c r="B16" s="451" t="s">
        <v>303</v>
      </c>
      <c r="C16" s="451"/>
      <c r="D16" s="451"/>
      <c r="E16" s="101"/>
      <c r="F16" s="101"/>
      <c r="G16" s="101"/>
      <c r="H16" s="101"/>
      <c r="I16" s="101"/>
      <c r="J16" s="444"/>
      <c r="K16" s="101"/>
      <c r="L16" s="452"/>
      <c r="M16" s="318"/>
    </row>
    <row r="17" customFormat="false" ht="12.75" hidden="false" customHeight="true" outlineLevel="0" collapsed="false">
      <c r="A17" s="453" t="s">
        <v>304</v>
      </c>
      <c r="B17" s="451"/>
      <c r="C17" s="451"/>
      <c r="D17" s="451"/>
      <c r="E17" s="101" t="s">
        <v>205</v>
      </c>
      <c r="F17" s="454"/>
      <c r="G17" s="444" t="s">
        <v>305</v>
      </c>
      <c r="H17" s="101" t="n">
        <v>0.6</v>
      </c>
      <c r="I17" s="101" t="s">
        <v>306</v>
      </c>
      <c r="J17" s="444" t="s">
        <v>205</v>
      </c>
      <c r="K17" s="455" t="n">
        <f aca="false">F17*H17</f>
        <v>0</v>
      </c>
      <c r="L17" s="456"/>
      <c r="M17" s="318"/>
    </row>
    <row r="18" customFormat="false" ht="6" hidden="false" customHeight="true" outlineLevel="0" collapsed="false">
      <c r="A18" s="443"/>
      <c r="B18" s="101"/>
      <c r="C18" s="101"/>
      <c r="D18" s="101"/>
      <c r="E18" s="101"/>
      <c r="F18" s="101"/>
      <c r="G18" s="101"/>
      <c r="H18" s="101"/>
      <c r="I18" s="101"/>
      <c r="J18" s="444"/>
      <c r="K18" s="101"/>
      <c r="L18" s="450"/>
      <c r="M18" s="318"/>
    </row>
    <row r="19" customFormat="false" ht="15.4" hidden="false" customHeight="true" outlineLevel="0" collapsed="false">
      <c r="A19" s="443"/>
      <c r="B19" s="101"/>
      <c r="C19" s="101"/>
      <c r="D19" s="101"/>
      <c r="E19" s="101"/>
      <c r="F19" s="101"/>
      <c r="G19" s="101"/>
      <c r="H19" s="101"/>
      <c r="I19" s="101"/>
      <c r="J19" s="444"/>
      <c r="K19" s="101"/>
      <c r="L19" s="450"/>
      <c r="M19" s="318"/>
    </row>
    <row r="20" customFormat="false" ht="12.75" hidden="true" customHeight="true" outlineLevel="0" collapsed="false">
      <c r="A20" s="443"/>
      <c r="B20" s="157"/>
      <c r="C20" s="101"/>
      <c r="D20" s="101"/>
      <c r="E20" s="101"/>
      <c r="F20" s="101"/>
      <c r="G20" s="101"/>
      <c r="H20" s="101"/>
      <c r="I20" s="101"/>
      <c r="J20" s="444"/>
      <c r="K20" s="457"/>
      <c r="L20" s="448"/>
      <c r="M20" s="318"/>
    </row>
    <row r="21" customFormat="false" ht="8.25" hidden="true" customHeight="true" outlineLevel="0" collapsed="false">
      <c r="A21" s="443"/>
      <c r="B21" s="157"/>
      <c r="C21" s="101"/>
      <c r="D21" s="101"/>
      <c r="E21" s="101"/>
      <c r="F21" s="101"/>
      <c r="G21" s="101"/>
      <c r="H21" s="101"/>
      <c r="I21" s="101"/>
      <c r="J21" s="444"/>
      <c r="K21" s="101"/>
      <c r="L21" s="450"/>
      <c r="M21" s="318"/>
    </row>
    <row r="22" customFormat="false" ht="12.75" hidden="false" customHeight="true" outlineLevel="0" collapsed="false">
      <c r="A22" s="443" t="s">
        <v>307</v>
      </c>
      <c r="B22" s="101" t="s">
        <v>308</v>
      </c>
      <c r="C22" s="101"/>
      <c r="D22" s="101"/>
      <c r="E22" s="101"/>
      <c r="F22" s="101"/>
      <c r="G22" s="101"/>
      <c r="H22" s="101"/>
      <c r="I22" s="101"/>
      <c r="J22" s="444" t="s">
        <v>205</v>
      </c>
      <c r="K22" s="458" t="n">
        <f aca="false">K77+K80+K83</f>
        <v>0</v>
      </c>
      <c r="L22" s="459"/>
      <c r="M22" s="318"/>
    </row>
    <row r="23" customFormat="false" ht="8.25" hidden="false" customHeight="true" outlineLevel="0" collapsed="false">
      <c r="A23" s="443"/>
      <c r="B23" s="101"/>
      <c r="C23" s="101"/>
      <c r="D23" s="101"/>
      <c r="E23" s="101"/>
      <c r="F23" s="101"/>
      <c r="G23" s="101"/>
      <c r="H23" s="101"/>
      <c r="I23" s="101"/>
      <c r="J23" s="444"/>
      <c r="K23" s="101"/>
      <c r="L23" s="450"/>
      <c r="M23" s="318"/>
    </row>
    <row r="24" customFormat="false" ht="14.65" hidden="false" customHeight="true" outlineLevel="0" collapsed="false">
      <c r="A24" s="443" t="s">
        <v>309</v>
      </c>
      <c r="B24" s="101" t="s">
        <v>310</v>
      </c>
      <c r="C24" s="101"/>
      <c r="D24" s="101"/>
      <c r="E24" s="101"/>
      <c r="F24" s="101"/>
      <c r="G24" s="101"/>
      <c r="H24" s="101"/>
      <c r="I24" s="101"/>
      <c r="J24" s="444"/>
      <c r="K24" s="101"/>
      <c r="L24" s="450"/>
      <c r="M24" s="318"/>
    </row>
    <row r="25" customFormat="false" ht="12.75" hidden="false" customHeight="true" outlineLevel="0" collapsed="false">
      <c r="A25" s="443"/>
      <c r="B25" s="157" t="s">
        <v>311</v>
      </c>
      <c r="C25" s="101"/>
      <c r="D25" s="101"/>
      <c r="E25" s="101"/>
      <c r="F25" s="101"/>
      <c r="G25" s="101"/>
      <c r="H25" s="101"/>
      <c r="I25" s="101"/>
      <c r="J25" s="444" t="s">
        <v>206</v>
      </c>
      <c r="K25" s="455" t="n">
        <f aca="false">'costo-mq'!$O$82</f>
        <v>312.7311</v>
      </c>
      <c r="L25" s="456"/>
    </row>
    <row r="26" customFormat="false" ht="6" hidden="false" customHeight="true" outlineLevel="0" collapsed="false">
      <c r="A26" s="443"/>
      <c r="B26" s="101"/>
      <c r="C26" s="101"/>
      <c r="D26" s="101"/>
      <c r="E26" s="101"/>
      <c r="F26" s="101"/>
      <c r="G26" s="101"/>
      <c r="H26" s="101"/>
      <c r="I26" s="101"/>
      <c r="J26" s="444"/>
      <c r="K26" s="154"/>
      <c r="L26" s="460"/>
      <c r="M26" s="318"/>
    </row>
    <row r="27" customFormat="false" ht="18" hidden="true" customHeight="true" outlineLevel="0" collapsed="false">
      <c r="A27" s="443"/>
      <c r="B27" s="101"/>
      <c r="C27" s="101"/>
      <c r="D27" s="101"/>
      <c r="E27" s="101"/>
      <c r="F27" s="101"/>
      <c r="G27" s="101"/>
      <c r="H27" s="461"/>
      <c r="I27" s="101"/>
      <c r="J27" s="444"/>
      <c r="K27" s="154"/>
      <c r="L27" s="460"/>
      <c r="M27" s="462"/>
    </row>
    <row r="28" customFormat="false" ht="9.15" hidden="false" customHeight="true" outlineLevel="0" collapsed="false">
      <c r="A28" s="443"/>
      <c r="B28" s="101"/>
      <c r="C28" s="101"/>
      <c r="D28" s="101"/>
      <c r="E28" s="101"/>
      <c r="F28" s="101"/>
      <c r="G28" s="101"/>
      <c r="H28" s="101"/>
      <c r="I28" s="101"/>
      <c r="J28" s="444"/>
      <c r="K28" s="154"/>
      <c r="L28" s="463"/>
      <c r="M28" s="318"/>
    </row>
    <row r="29" customFormat="false" ht="12.75" hidden="false" customHeight="true" outlineLevel="0" collapsed="false">
      <c r="A29" s="443" t="s">
        <v>312</v>
      </c>
      <c r="B29" s="464" t="s">
        <v>313</v>
      </c>
      <c r="C29" s="465"/>
      <c r="D29" s="465"/>
      <c r="E29" s="465"/>
      <c r="F29" s="465"/>
      <c r="G29" s="465"/>
      <c r="H29" s="465"/>
      <c r="I29" s="465"/>
      <c r="J29" s="466" t="s">
        <v>169</v>
      </c>
      <c r="K29" s="458" t="n">
        <f aca="false">K22*K25</f>
        <v>0</v>
      </c>
      <c r="L29" s="459"/>
      <c r="M29" s="318"/>
    </row>
    <row r="30" customFormat="false" ht="14.65" hidden="false" customHeight="true" outlineLevel="0" collapsed="false">
      <c r="A30" s="167"/>
      <c r="B30" s="142"/>
      <c r="C30" s="142"/>
      <c r="D30" s="142"/>
      <c r="E30" s="142"/>
      <c r="F30" s="142"/>
      <c r="G30" s="142"/>
      <c r="H30" s="142"/>
      <c r="I30" s="142"/>
      <c r="J30" s="142"/>
      <c r="K30" s="142"/>
      <c r="L30" s="379"/>
      <c r="M30" s="318"/>
    </row>
    <row r="31" customFormat="false" ht="5.1" hidden="false" customHeight="true" outlineLevel="0" collapsed="false">
      <c r="A31" s="167"/>
      <c r="B31" s="142"/>
      <c r="C31" s="142"/>
      <c r="D31" s="142"/>
      <c r="E31" s="142"/>
      <c r="F31" s="142"/>
      <c r="G31" s="142"/>
      <c r="H31" s="142"/>
      <c r="I31" s="142"/>
      <c r="J31" s="142"/>
      <c r="K31" s="142"/>
      <c r="L31" s="379"/>
      <c r="M31" s="318"/>
    </row>
    <row r="32" customFormat="false" ht="14.65" hidden="false" customHeight="true" outlineLevel="0" collapsed="false">
      <c r="A32" s="467" t="s">
        <v>314</v>
      </c>
      <c r="B32" s="467"/>
      <c r="C32" s="467"/>
      <c r="D32" s="467"/>
      <c r="E32" s="467"/>
      <c r="F32" s="467"/>
      <c r="G32" s="467"/>
      <c r="H32" s="467"/>
      <c r="I32" s="467"/>
      <c r="J32" s="467"/>
      <c r="K32" s="467"/>
      <c r="L32" s="467"/>
      <c r="M32" s="318"/>
    </row>
    <row r="33" customFormat="false" ht="5.1" hidden="false" customHeight="true" outlineLevel="0" collapsed="false">
      <c r="A33" s="167"/>
      <c r="B33" s="142"/>
      <c r="C33" s="142"/>
      <c r="D33" s="142"/>
      <c r="E33" s="142"/>
      <c r="F33" s="142"/>
      <c r="G33" s="142"/>
      <c r="H33" s="142"/>
      <c r="I33" s="142"/>
      <c r="J33" s="142"/>
      <c r="K33" s="142"/>
      <c r="L33" s="379"/>
      <c r="M33" s="318"/>
    </row>
    <row r="34" customFormat="false" ht="16.5" hidden="false" customHeight="true" outlineLevel="0" collapsed="false">
      <c r="A34" s="167"/>
      <c r="B34" s="352" t="s">
        <v>225</v>
      </c>
      <c r="C34" s="142"/>
      <c r="D34" s="383" t="s">
        <v>315</v>
      </c>
      <c r="E34" s="383"/>
      <c r="F34" s="388" t="s">
        <v>316</v>
      </c>
      <c r="G34" s="142"/>
      <c r="H34" s="142"/>
      <c r="I34" s="383" t="s">
        <v>317</v>
      </c>
      <c r="J34" s="383"/>
      <c r="K34" s="383"/>
      <c r="L34" s="379"/>
      <c r="M34" s="318"/>
    </row>
    <row r="35" customFormat="false" ht="11.25" hidden="false" customHeight="true" outlineLevel="0" collapsed="false">
      <c r="A35" s="167"/>
      <c r="B35" s="142"/>
      <c r="C35" s="142"/>
      <c r="D35" s="383"/>
      <c r="E35" s="383"/>
      <c r="F35" s="355"/>
      <c r="G35" s="142"/>
      <c r="H35" s="142"/>
      <c r="I35" s="383"/>
      <c r="J35" s="383"/>
      <c r="K35" s="383"/>
      <c r="L35" s="379"/>
      <c r="M35" s="318"/>
      <c r="N35" s="468" t="n">
        <f aca="false">SUM(E39:E49)</f>
        <v>0.07</v>
      </c>
      <c r="P35" s="468" t="n">
        <f aca="false">SUM(J37:J49)</f>
        <v>0.07</v>
      </c>
    </row>
    <row r="36" customFormat="false" ht="6" hidden="false" customHeight="true" outlineLevel="0" collapsed="false">
      <c r="A36" s="167"/>
      <c r="B36" s="142"/>
      <c r="C36" s="142"/>
      <c r="D36" s="383"/>
      <c r="E36" s="383"/>
      <c r="F36" s="355"/>
      <c r="G36" s="142"/>
      <c r="H36" s="142"/>
      <c r="I36" s="383"/>
      <c r="J36" s="383"/>
      <c r="K36" s="383"/>
      <c r="L36" s="379"/>
      <c r="M36" s="318"/>
    </row>
    <row r="37" customFormat="false" ht="13.5" hidden="false" customHeight="true" outlineLevel="0" collapsed="false">
      <c r="A37" s="167"/>
      <c r="B37" s="142"/>
      <c r="C37" s="142"/>
      <c r="D37" s="383"/>
      <c r="E37" s="383"/>
      <c r="F37" s="205" t="s">
        <v>318</v>
      </c>
      <c r="G37" s="403" t="str">
        <f aca="false">IF(K12&gt;60,"X","-")</f>
        <v>-</v>
      </c>
      <c r="H37" s="142"/>
      <c r="I37" s="142"/>
      <c r="J37" s="469"/>
      <c r="K37" s="383"/>
      <c r="L37" s="379"/>
      <c r="M37" s="318"/>
    </row>
    <row r="38" customFormat="false" ht="6" hidden="false" customHeight="true" outlineLevel="0" collapsed="false">
      <c r="A38" s="167"/>
      <c r="B38" s="142"/>
      <c r="C38" s="142"/>
      <c r="D38" s="142"/>
      <c r="E38" s="142"/>
      <c r="K38" s="142"/>
      <c r="L38" s="379"/>
      <c r="M38" s="318"/>
    </row>
    <row r="39" customFormat="false" ht="14.65" hidden="false" customHeight="true" outlineLevel="0" collapsed="false">
      <c r="A39" s="167"/>
      <c r="B39" s="295" t="s">
        <v>319</v>
      </c>
      <c r="C39" s="403" t="str">
        <f aca="false">IF(K10&gt;160,"X","-")</f>
        <v>-</v>
      </c>
      <c r="D39" s="142"/>
      <c r="E39" s="470" t="str">
        <f aca="false">IF($C$49="X"," ",IF(C39="X",N39,IF(C39="-"," ",0)))</f>
        <v> </v>
      </c>
      <c r="F39" s="205" t="s">
        <v>320</v>
      </c>
      <c r="G39" s="403" t="str">
        <f aca="false">IF(K12&gt;60,"-",IF(K12&gt;55,"X","-"))</f>
        <v>-</v>
      </c>
      <c r="H39" s="142"/>
      <c r="I39" s="142"/>
      <c r="J39" s="469" t="str">
        <f aca="false">O39</f>
        <v> </v>
      </c>
      <c r="L39" s="379"/>
      <c r="M39" s="471" t="n">
        <f aca="false">IF(E39=" ",0,IF(G39="x","9%",IF(G37="x","10%",0)))</f>
        <v>0</v>
      </c>
      <c r="N39" s="472" t="n">
        <v>0.09</v>
      </c>
      <c r="O39" s="473" t="str">
        <f aca="false">IF(E39&lt;&gt;" ",IF(K12&gt;60,P39,N39)," ")</f>
        <v> </v>
      </c>
      <c r="P39" s="472" t="n">
        <v>0.1</v>
      </c>
    </row>
    <row r="40" customFormat="false" ht="6" hidden="false" customHeight="true" outlineLevel="0" collapsed="false">
      <c r="A40" s="167"/>
      <c r="B40" s="295"/>
      <c r="C40" s="142"/>
      <c r="D40" s="142"/>
      <c r="E40" s="105"/>
      <c r="F40" s="205"/>
      <c r="G40" s="142"/>
      <c r="H40" s="142"/>
      <c r="I40" s="142"/>
      <c r="J40" s="156"/>
      <c r="L40" s="379"/>
      <c r="M40" s="474"/>
    </row>
    <row r="41" customFormat="false" ht="12.75" hidden="false" customHeight="true" outlineLevel="0" collapsed="false">
      <c r="A41" s="167"/>
      <c r="B41" s="295" t="s">
        <v>321</v>
      </c>
      <c r="C41" s="403" t="str">
        <f aca="false">IF(K10&gt;160,"-",IF(K10&lt;130,"-",IF(K10&lt;160,"X",0)))</f>
        <v>-</v>
      </c>
      <c r="D41" s="142"/>
      <c r="E41" s="470" t="str">
        <f aca="false">IF($C$49="X"," ",IF(C41="X",N41,IF(C41="-"," ",0)))</f>
        <v> </v>
      </c>
      <c r="F41" s="205" t="s">
        <v>322</v>
      </c>
      <c r="G41" s="403" t="str">
        <f aca="false">IF(K12&gt;55,"-",IF(K12&gt;50,"X","-"))</f>
        <v>-</v>
      </c>
      <c r="H41" s="142"/>
      <c r="I41" s="142"/>
      <c r="J41" s="469" t="str">
        <f aca="false">O41</f>
        <v> </v>
      </c>
      <c r="K41" s="475"/>
      <c r="L41" s="379"/>
      <c r="M41" s="471" t="n">
        <f aca="false">IF(E41=" ",0,IF(G39="x","9%",IF(E39="-","8%",0)))</f>
        <v>0</v>
      </c>
      <c r="N41" s="472" t="n">
        <v>0.08</v>
      </c>
      <c r="O41" s="425" t="str">
        <f aca="false">IF(E41&lt;&gt;" ",IF(K12&gt;55,P41,N41)," ")</f>
        <v> </v>
      </c>
      <c r="P41" s="472" t="n">
        <v>0.09</v>
      </c>
    </row>
    <row r="42" customFormat="false" ht="5.1" hidden="false" customHeight="true" outlineLevel="0" collapsed="false">
      <c r="A42" s="167"/>
      <c r="B42" s="295"/>
      <c r="C42" s="142"/>
      <c r="D42" s="142"/>
      <c r="E42" s="105"/>
      <c r="F42" s="205"/>
      <c r="G42" s="142"/>
      <c r="H42" s="142"/>
      <c r="I42" s="142"/>
      <c r="J42" s="156"/>
      <c r="K42" s="142"/>
      <c r="L42" s="379"/>
      <c r="M42" s="471"/>
    </row>
    <row r="43" customFormat="false" ht="14.65" hidden="false" customHeight="true" outlineLevel="0" collapsed="false">
      <c r="A43" s="167"/>
      <c r="B43" s="295" t="s">
        <v>323</v>
      </c>
      <c r="C43" s="403" t="str">
        <f aca="false">IF(K10&gt;130,"-",IF(K10&lt;110,"-",IF(K10&lt;130,"X",0)))</f>
        <v>-</v>
      </c>
      <c r="D43" s="142"/>
      <c r="E43" s="470" t="str">
        <f aca="false">IF($C$49="X"," ",IF(C43="X",N43,IF(C43="-"," ",0)))</f>
        <v> </v>
      </c>
      <c r="F43" s="205" t="s">
        <v>324</v>
      </c>
      <c r="G43" s="403" t="str">
        <f aca="false">IF(K12&gt;50,"-",IF(K12&gt;45,"X","-"))</f>
        <v>-</v>
      </c>
      <c r="H43" s="142"/>
      <c r="I43" s="142"/>
      <c r="J43" s="469" t="str">
        <f aca="false">O43</f>
        <v> </v>
      </c>
      <c r="K43" s="475"/>
      <c r="L43" s="379"/>
      <c r="M43" s="471" t="n">
        <f aca="false">IF(E43=" ",0,IF(G41="x","9%",IF(G39="x","9%",IF(E43="8%","8%",0))))</f>
        <v>0</v>
      </c>
      <c r="N43" s="472" t="n">
        <v>0.08</v>
      </c>
      <c r="O43" s="425" t="str">
        <f aca="false">IF(E43&lt;&gt;" ",IF(K12&gt;50,P43,N43)," ")</f>
        <v> </v>
      </c>
      <c r="P43" s="472" t="n">
        <v>0.09</v>
      </c>
    </row>
    <row r="44" customFormat="false" ht="5.1" hidden="false" customHeight="true" outlineLevel="0" collapsed="false">
      <c r="A44" s="167"/>
      <c r="B44" s="295"/>
      <c r="C44" s="142"/>
      <c r="D44" s="142"/>
      <c r="E44" s="105"/>
      <c r="F44" s="205"/>
      <c r="G44" s="142"/>
      <c r="H44" s="142"/>
      <c r="I44" s="142"/>
      <c r="J44" s="156"/>
      <c r="K44" s="142"/>
      <c r="L44" s="379"/>
      <c r="M44" s="471"/>
    </row>
    <row r="45" customFormat="false" ht="14.65" hidden="false" customHeight="true" outlineLevel="0" collapsed="false">
      <c r="A45" s="167"/>
      <c r="B45" s="295" t="s">
        <v>325</v>
      </c>
      <c r="C45" s="403" t="str">
        <f aca="false">IF(K10&gt;110,"-",IF(K10&lt;95,"-",IF(K10&lt;110,"X",0)))</f>
        <v>-</v>
      </c>
      <c r="D45" s="142"/>
      <c r="E45" s="470" t="str">
        <f aca="false">IF($C$49="X"," ",IF(C45="X",N45,IF(C45="-"," ",0)))</f>
        <v> </v>
      </c>
      <c r="F45" s="205" t="s">
        <v>326</v>
      </c>
      <c r="G45" s="403" t="str">
        <f aca="false">IF(K12&gt;45,"-",IF(K12&gt;40,"X","-"))</f>
        <v>-</v>
      </c>
      <c r="H45" s="142"/>
      <c r="I45" s="142"/>
      <c r="J45" s="469" t="str">
        <f aca="false">O45</f>
        <v> </v>
      </c>
      <c r="K45" s="475"/>
      <c r="L45" s="379"/>
      <c r="M45" s="471" t="n">
        <f aca="false">IF(E45=" ",0,IF(G43="x","8%",IF(G41="x","8%",IF(G39="x","8%",IF(E45="7%","7%",0)))))</f>
        <v>0</v>
      </c>
      <c r="N45" s="472" t="n">
        <v>0.07</v>
      </c>
      <c r="O45" s="425" t="str">
        <f aca="false">IF(E45&lt;&gt;" ",IF(K12&gt;45,P45,N45)," ")</f>
        <v> </v>
      </c>
      <c r="P45" s="472" t="n">
        <v>0.08</v>
      </c>
    </row>
    <row r="46" customFormat="false" ht="5.1" hidden="false" customHeight="true" outlineLevel="0" collapsed="false">
      <c r="A46" s="167"/>
      <c r="B46" s="295"/>
      <c r="C46" s="142"/>
      <c r="D46" s="142"/>
      <c r="E46" s="105"/>
      <c r="F46" s="205"/>
      <c r="G46" s="142"/>
      <c r="H46" s="142"/>
      <c r="I46" s="142"/>
      <c r="J46" s="156"/>
      <c r="K46" s="142"/>
      <c r="L46" s="379"/>
      <c r="M46" s="474"/>
    </row>
    <row r="47" customFormat="false" ht="14.65" hidden="false" customHeight="true" outlineLevel="0" collapsed="false">
      <c r="A47" s="167"/>
      <c r="B47" s="295" t="s">
        <v>327</v>
      </c>
      <c r="C47" s="403" t="str">
        <f aca="false">IF(K10&lt;95,"X","-")</f>
        <v>X</v>
      </c>
      <c r="D47" s="142"/>
      <c r="E47" s="469" t="n">
        <f aca="false">IF($C$49="X"," ",IF(C47="X",N47,IF(C47="-"," ",0)))</f>
        <v>0.07</v>
      </c>
      <c r="F47" s="205" t="s">
        <v>328</v>
      </c>
      <c r="G47" s="403" t="str">
        <f aca="false">IF(K12&lt;=40,"X","-")</f>
        <v>X</v>
      </c>
      <c r="H47" s="142"/>
      <c r="I47" s="142"/>
      <c r="J47" s="469" t="n">
        <f aca="false">O47</f>
        <v>0.07</v>
      </c>
      <c r="K47" s="475"/>
      <c r="L47" s="379"/>
      <c r="M47" s="471" t="n">
        <f aca="false">IF(E47=" ",0,IF(G45="x","8%",IF(G43="x","8%",IF(G41="x","8%",IF(G39="x","8%",IF(E47="7%","7%",0))))))</f>
        <v>0</v>
      </c>
      <c r="N47" s="472" t="n">
        <v>0.07</v>
      </c>
      <c r="O47" s="472" t="n">
        <f aca="false">IF(E47&lt;&gt;" ",IF(K12&gt;40,P47,N47)," ")</f>
        <v>0.07</v>
      </c>
      <c r="P47" s="472" t="n">
        <v>0.08</v>
      </c>
    </row>
    <row r="48" customFormat="false" ht="5.1" hidden="false" customHeight="true" outlineLevel="0" collapsed="false">
      <c r="A48" s="167"/>
      <c r="B48" s="142"/>
      <c r="C48" s="142"/>
      <c r="D48" s="142"/>
      <c r="E48" s="105"/>
      <c r="K48" s="142"/>
      <c r="L48" s="379"/>
      <c r="M48" s="474"/>
    </row>
    <row r="49" customFormat="false" ht="14.65" hidden="false" customHeight="true" outlineLevel="0" collapsed="false">
      <c r="A49" s="167"/>
      <c r="B49" s="295" t="s">
        <v>329</v>
      </c>
      <c r="C49" s="476"/>
      <c r="D49" s="142"/>
      <c r="E49" s="475" t="str">
        <f aca="false">IF(C49="X",N49," ")</f>
        <v> </v>
      </c>
      <c r="J49" s="477" t="str">
        <f aca="false">E49</f>
        <v> </v>
      </c>
      <c r="K49" s="475" t="s">
        <v>330</v>
      </c>
      <c r="L49" s="379"/>
      <c r="M49" s="471" t="n">
        <f aca="false">IF(J49=" ",0,IF(J49="10%",0.1,0))</f>
        <v>0</v>
      </c>
      <c r="N49" s="472" t="n">
        <v>0.1</v>
      </c>
    </row>
    <row r="50" customFormat="false" ht="9" hidden="false" customHeight="true" outlineLevel="0" collapsed="false">
      <c r="A50" s="167"/>
      <c r="B50" s="142"/>
      <c r="C50" s="142"/>
      <c r="D50" s="142"/>
      <c r="E50" s="142"/>
      <c r="F50" s="142"/>
      <c r="G50" s="142"/>
      <c r="H50" s="142"/>
      <c r="I50" s="142"/>
      <c r="J50" s="142"/>
      <c r="K50" s="142"/>
      <c r="L50" s="379"/>
      <c r="M50" s="471" t="n">
        <f aca="false">M39+M41+M43+M45+M47+M49</f>
        <v>0</v>
      </c>
    </row>
    <row r="51" customFormat="false" ht="6" hidden="false" customHeight="true" outlineLevel="0" collapsed="false">
      <c r="A51" s="167"/>
      <c r="B51" s="142"/>
      <c r="C51" s="142"/>
      <c r="D51" s="142"/>
      <c r="E51" s="142"/>
      <c r="F51" s="142"/>
      <c r="G51" s="142"/>
      <c r="H51" s="142"/>
      <c r="I51" s="142"/>
      <c r="J51" s="142"/>
      <c r="K51" s="142"/>
      <c r="L51" s="379"/>
      <c r="M51" s="318"/>
    </row>
    <row r="52" customFormat="false" ht="12.75" hidden="false" customHeight="true" outlineLevel="0" collapsed="false">
      <c r="A52" s="167"/>
      <c r="B52" s="142" t="s">
        <v>331</v>
      </c>
      <c r="C52" s="142"/>
      <c r="D52" s="142"/>
      <c r="E52" s="142"/>
      <c r="F52" s="142"/>
      <c r="G52" s="476"/>
      <c r="H52" s="142"/>
      <c r="I52" s="142"/>
      <c r="J52" s="142"/>
      <c r="K52" s="142"/>
      <c r="L52" s="379"/>
      <c r="M52" s="318"/>
      <c r="N52" s="425" t="n">
        <f aca="false">IF(G52="X",1,0)</f>
        <v>0</v>
      </c>
    </row>
    <row r="53" customFormat="false" ht="6" hidden="false" customHeight="true" outlineLevel="0" collapsed="false">
      <c r="A53" s="167"/>
      <c r="B53" s="142"/>
      <c r="C53" s="142"/>
      <c r="D53" s="142"/>
      <c r="E53" s="142"/>
      <c r="F53" s="142"/>
      <c r="G53" s="295"/>
      <c r="H53" s="142"/>
      <c r="I53" s="142"/>
      <c r="J53" s="142"/>
      <c r="K53" s="142"/>
      <c r="L53" s="379"/>
      <c r="M53" s="318"/>
    </row>
    <row r="54" customFormat="false" ht="14.65" hidden="false" customHeight="true" outlineLevel="0" collapsed="false">
      <c r="A54" s="167"/>
      <c r="B54" s="142" t="s">
        <v>332</v>
      </c>
      <c r="C54" s="142"/>
      <c r="D54" s="142"/>
      <c r="E54" s="142"/>
      <c r="F54" s="142"/>
      <c r="G54" s="476" t="s">
        <v>238</v>
      </c>
      <c r="H54" s="142"/>
      <c r="I54" s="142"/>
      <c r="J54" s="142"/>
      <c r="K54" s="142"/>
      <c r="L54" s="379"/>
      <c r="M54" s="318"/>
      <c r="N54" s="425" t="n">
        <f aca="false">IF(G54="X",1,0)</f>
        <v>0</v>
      </c>
    </row>
    <row r="55" customFormat="false" ht="5.1" hidden="false" customHeight="true" outlineLevel="0" collapsed="false">
      <c r="A55" s="167"/>
      <c r="B55" s="142"/>
      <c r="C55" s="142"/>
      <c r="D55" s="142"/>
      <c r="E55" s="142"/>
      <c r="F55" s="142"/>
      <c r="G55" s="295"/>
      <c r="H55" s="142"/>
      <c r="I55" s="142"/>
      <c r="J55" s="142"/>
      <c r="K55" s="142"/>
      <c r="L55" s="379"/>
      <c r="M55" s="318"/>
    </row>
    <row r="56" customFormat="false" ht="12.75" hidden="false" customHeight="true" outlineLevel="0" collapsed="false">
      <c r="A56" s="167"/>
      <c r="B56" s="142" t="s">
        <v>333</v>
      </c>
      <c r="C56" s="142"/>
      <c r="D56" s="142"/>
      <c r="E56" s="142"/>
      <c r="F56" s="142"/>
      <c r="G56" s="476"/>
      <c r="H56" s="142"/>
      <c r="I56" s="142"/>
      <c r="J56" s="142"/>
      <c r="K56" s="142"/>
      <c r="L56" s="379"/>
      <c r="M56" s="318"/>
      <c r="N56" s="425" t="n">
        <f aca="false">IF(G56="X",1,0)</f>
        <v>0</v>
      </c>
    </row>
    <row r="57" customFormat="false" ht="4.5" hidden="false" customHeight="true" outlineLevel="0" collapsed="false">
      <c r="A57" s="167"/>
      <c r="B57" s="142"/>
      <c r="C57" s="142"/>
      <c r="D57" s="142"/>
      <c r="E57" s="142"/>
      <c r="F57" s="142"/>
      <c r="G57" s="142"/>
      <c r="H57" s="142"/>
      <c r="I57" s="142"/>
      <c r="J57" s="142"/>
      <c r="K57" s="142"/>
      <c r="L57" s="379"/>
      <c r="M57" s="318"/>
    </row>
    <row r="58" customFormat="false" ht="15" hidden="false" customHeight="true" outlineLevel="0" collapsed="false">
      <c r="A58" s="167"/>
      <c r="B58" s="142" t="s">
        <v>334</v>
      </c>
      <c r="C58" s="142"/>
      <c r="D58" s="142"/>
      <c r="E58" s="142"/>
      <c r="F58" s="142"/>
      <c r="G58" s="142"/>
      <c r="H58" s="142"/>
      <c r="I58" s="142"/>
      <c r="J58" s="142"/>
      <c r="K58" s="478" t="n">
        <f aca="false">IF(N58&gt;0,O58-0.01,O58)</f>
        <v>0.07</v>
      </c>
      <c r="L58" s="478"/>
      <c r="M58" s="318"/>
      <c r="N58" s="425" t="n">
        <f aca="false">N52+N54+N56</f>
        <v>0</v>
      </c>
      <c r="O58" s="473" t="n">
        <f aca="false">IF(J49&lt;&gt;" ",J49,P35)</f>
        <v>0.07</v>
      </c>
    </row>
    <row r="59" customFormat="false" ht="4.5" hidden="false" customHeight="true" outlineLevel="0" collapsed="false">
      <c r="A59" s="167"/>
      <c r="B59" s="142"/>
      <c r="C59" s="142"/>
      <c r="D59" s="142"/>
      <c r="E59" s="142"/>
      <c r="F59" s="142"/>
      <c r="G59" s="142"/>
      <c r="H59" s="142"/>
      <c r="I59" s="142"/>
      <c r="J59" s="142"/>
      <c r="K59" s="142"/>
      <c r="L59" s="379"/>
      <c r="M59" s="318"/>
    </row>
    <row r="60" customFormat="false" ht="4.5" hidden="false" customHeight="true" outlineLevel="0" collapsed="false">
      <c r="A60" s="167"/>
      <c r="B60" s="142"/>
      <c r="C60" s="142"/>
      <c r="D60" s="142"/>
      <c r="E60" s="142"/>
      <c r="F60" s="142"/>
      <c r="G60" s="142"/>
      <c r="H60" s="142"/>
      <c r="I60" s="142"/>
      <c r="J60" s="142"/>
      <c r="K60" s="142"/>
      <c r="L60" s="379"/>
      <c r="M60" s="318"/>
    </row>
    <row r="61" customFormat="false" ht="12.75" hidden="false" customHeight="true" outlineLevel="0" collapsed="false">
      <c r="A61" s="467" t="s">
        <v>335</v>
      </c>
      <c r="B61" s="467"/>
      <c r="C61" s="467"/>
      <c r="D61" s="467"/>
      <c r="E61" s="467"/>
      <c r="F61" s="467"/>
      <c r="G61" s="467"/>
      <c r="H61" s="467"/>
      <c r="I61" s="467"/>
      <c r="J61" s="467"/>
      <c r="K61" s="467"/>
      <c r="L61" s="467"/>
      <c r="M61" s="318"/>
    </row>
    <row r="62" customFormat="false" ht="6" hidden="false" customHeight="true" outlineLevel="0" collapsed="false">
      <c r="A62" s="167"/>
      <c r="B62" s="142"/>
      <c r="C62" s="142"/>
      <c r="D62" s="142"/>
      <c r="E62" s="142"/>
      <c r="F62" s="142"/>
      <c r="G62" s="142"/>
      <c r="H62" s="142"/>
      <c r="I62" s="142"/>
      <c r="J62" s="142"/>
      <c r="K62" s="142"/>
      <c r="L62" s="379"/>
      <c r="M62" s="318"/>
    </row>
    <row r="63" customFormat="false" ht="18" hidden="false" customHeight="true" outlineLevel="0" collapsed="false">
      <c r="A63" s="167"/>
      <c r="B63" s="142" t="s">
        <v>336</v>
      </c>
      <c r="C63" s="142"/>
      <c r="D63" s="142"/>
      <c r="E63" s="142"/>
      <c r="F63" s="142"/>
      <c r="G63" s="142"/>
      <c r="H63" s="142" t="s">
        <v>169</v>
      </c>
      <c r="I63" s="479" t="n">
        <f aca="false">K29</f>
        <v>0</v>
      </c>
      <c r="J63" s="479"/>
      <c r="K63" s="479"/>
      <c r="L63" s="479"/>
      <c r="M63" s="318"/>
    </row>
    <row r="64" customFormat="false" ht="5.1" hidden="false" customHeight="true" outlineLevel="0" collapsed="false">
      <c r="A64" s="167"/>
      <c r="B64" s="142"/>
      <c r="C64" s="142"/>
      <c r="D64" s="142"/>
      <c r="E64" s="142"/>
      <c r="F64" s="142"/>
      <c r="G64" s="142"/>
      <c r="H64" s="142"/>
      <c r="I64" s="142"/>
      <c r="J64" s="142"/>
      <c r="K64" s="142"/>
      <c r="L64" s="379"/>
      <c r="M64" s="318"/>
    </row>
    <row r="65" customFormat="false" ht="18" hidden="false" customHeight="true" outlineLevel="0" collapsed="false">
      <c r="A65" s="167"/>
      <c r="B65" s="142" t="s">
        <v>337</v>
      </c>
      <c r="C65" s="142"/>
      <c r="D65" s="142"/>
      <c r="E65" s="142"/>
      <c r="F65" s="142"/>
      <c r="G65" s="142"/>
      <c r="H65" s="142" t="s">
        <v>338</v>
      </c>
      <c r="I65" s="480" t="n">
        <f aca="false">K58</f>
        <v>0.07</v>
      </c>
      <c r="J65" s="480"/>
      <c r="K65" s="480"/>
      <c r="L65" s="480"/>
      <c r="M65" s="318"/>
    </row>
    <row r="66" customFormat="false" ht="5.1" hidden="false" customHeight="true" outlineLevel="0" collapsed="false">
      <c r="A66" s="167"/>
      <c r="B66" s="142"/>
      <c r="C66" s="142"/>
      <c r="D66" s="142"/>
      <c r="E66" s="142"/>
      <c r="F66" s="142"/>
      <c r="G66" s="142"/>
      <c r="H66" s="142"/>
      <c r="I66" s="142"/>
      <c r="J66" s="142"/>
      <c r="K66" s="142"/>
      <c r="L66" s="379"/>
      <c r="M66" s="318"/>
    </row>
    <row r="67" customFormat="false" ht="18" hidden="false" customHeight="true" outlineLevel="0" collapsed="false">
      <c r="A67" s="481"/>
      <c r="B67" s="197" t="s">
        <v>339</v>
      </c>
      <c r="C67" s="197"/>
      <c r="D67" s="197"/>
      <c r="E67" s="197"/>
      <c r="F67" s="197"/>
      <c r="G67" s="197"/>
      <c r="H67" s="197" t="s">
        <v>169</v>
      </c>
      <c r="I67" s="482" t="n">
        <f aca="false">I63*I65</f>
        <v>0</v>
      </c>
      <c r="J67" s="482"/>
      <c r="K67" s="482"/>
      <c r="L67" s="482"/>
      <c r="M67" s="318"/>
    </row>
    <row r="68" s="112" customFormat="true" ht="28.35" hidden="false" customHeight="true" outlineLevel="0" collapsed="false">
      <c r="A68" s="483"/>
      <c r="B68" s="484"/>
      <c r="C68" s="484"/>
      <c r="D68" s="484"/>
      <c r="E68" s="484"/>
      <c r="F68" s="484"/>
      <c r="G68" s="484"/>
      <c r="H68" s="484"/>
      <c r="I68" s="484"/>
      <c r="J68" s="484"/>
      <c r="K68" s="484"/>
      <c r="L68" s="485"/>
      <c r="M68" s="430"/>
      <c r="N68" s="118"/>
      <c r="O68" s="118"/>
      <c r="P68" s="118"/>
      <c r="Q68" s="118"/>
      <c r="R68" s="118"/>
    </row>
    <row r="69" s="112" customFormat="true" ht="18.15" hidden="false" customHeight="true" outlineLevel="0" collapsed="false">
      <c r="A69" s="432" t="s">
        <v>161</v>
      </c>
      <c r="B69" s="433"/>
      <c r="C69" s="433"/>
      <c r="D69" s="433"/>
      <c r="E69" s="433"/>
      <c r="F69" s="434" t="s">
        <v>162</v>
      </c>
      <c r="G69" s="435"/>
      <c r="H69" s="435"/>
      <c r="I69" s="123"/>
      <c r="J69" s="436"/>
      <c r="K69" s="434" t="s">
        <v>297</v>
      </c>
      <c r="L69" s="437"/>
      <c r="M69" s="430"/>
      <c r="N69" s="118"/>
      <c r="O69" s="118"/>
      <c r="P69" s="118"/>
      <c r="Q69" s="118"/>
      <c r="R69" s="118"/>
    </row>
    <row r="70" s="112" customFormat="true" ht="9.75" hidden="false" customHeight="true" outlineLevel="0" collapsed="false">
      <c r="A70" s="438"/>
      <c r="B70" s="439"/>
      <c r="C70" s="440"/>
      <c r="D70" s="440"/>
      <c r="E70" s="123"/>
      <c r="F70" s="440"/>
      <c r="G70" s="434"/>
      <c r="H70" s="440"/>
      <c r="I70" s="123"/>
      <c r="J70" s="434"/>
      <c r="K70" s="441"/>
      <c r="L70" s="441"/>
      <c r="M70" s="430"/>
      <c r="N70" s="118"/>
      <c r="O70" s="118"/>
      <c r="P70" s="118"/>
      <c r="Q70" s="118"/>
      <c r="R70" s="118"/>
    </row>
    <row r="71" customFormat="false" ht="14.65" hidden="false" customHeight="true" outlineLevel="0" collapsed="false">
      <c r="A71" s="442" t="s">
        <v>298</v>
      </c>
      <c r="B71" s="442"/>
      <c r="C71" s="442"/>
      <c r="D71" s="442"/>
      <c r="E71" s="442"/>
      <c r="F71" s="442"/>
      <c r="G71" s="442"/>
      <c r="H71" s="442"/>
      <c r="I71" s="442"/>
      <c r="J71" s="442"/>
      <c r="K71" s="442"/>
      <c r="L71" s="442"/>
      <c r="M71" s="318"/>
    </row>
    <row r="72" customFormat="false" ht="9" hidden="false" customHeight="true" outlineLevel="0" collapsed="false">
      <c r="A72" s="443"/>
      <c r="B72" s="444"/>
      <c r="C72" s="101"/>
      <c r="D72" s="101"/>
      <c r="E72" s="101"/>
      <c r="F72" s="101"/>
      <c r="G72" s="101"/>
      <c r="H72" s="101"/>
      <c r="I72" s="101"/>
      <c r="J72" s="101"/>
      <c r="K72" s="101"/>
      <c r="L72" s="445"/>
    </row>
    <row r="73" customFormat="false" ht="12.75" hidden="false" customHeight="true" outlineLevel="0" collapsed="false">
      <c r="A73" s="443"/>
      <c r="B73" s="446" t="s">
        <v>299</v>
      </c>
      <c r="C73" s="101"/>
      <c r="D73" s="101"/>
      <c r="E73" s="101"/>
      <c r="F73" s="101"/>
      <c r="G73" s="101"/>
      <c r="H73" s="101"/>
      <c r="I73" s="101"/>
      <c r="J73" s="101"/>
      <c r="K73" s="447"/>
      <c r="L73" s="448"/>
    </row>
    <row r="74" customFormat="false" ht="9" hidden="false" customHeight="true" outlineLevel="0" collapsed="false">
      <c r="A74" s="443"/>
      <c r="B74" s="444"/>
      <c r="C74" s="101"/>
      <c r="D74" s="101"/>
      <c r="E74" s="101"/>
      <c r="F74" s="101"/>
      <c r="G74" s="101"/>
      <c r="H74" s="101"/>
      <c r="I74" s="101"/>
      <c r="J74" s="101"/>
      <c r="K74" s="449"/>
      <c r="L74" s="448"/>
    </row>
    <row r="75" customFormat="false" ht="12.75" hidden="false" customHeight="true" outlineLevel="0" collapsed="false">
      <c r="A75" s="443"/>
      <c r="B75" s="446" t="s">
        <v>300</v>
      </c>
      <c r="C75" s="101"/>
      <c r="D75" s="101"/>
      <c r="E75" s="101"/>
      <c r="F75" s="101"/>
      <c r="G75" s="101"/>
      <c r="H75" s="101"/>
      <c r="I75" s="101"/>
      <c r="J75" s="101"/>
      <c r="K75" s="447"/>
      <c r="L75" s="448"/>
    </row>
    <row r="76" customFormat="false" ht="6.75" hidden="false" customHeight="true" outlineLevel="0" collapsed="false">
      <c r="A76" s="443"/>
      <c r="B76" s="444"/>
      <c r="C76" s="101"/>
      <c r="D76" s="101"/>
      <c r="E76" s="101"/>
      <c r="F76" s="101"/>
      <c r="G76" s="101"/>
      <c r="H76" s="101"/>
      <c r="I76" s="101"/>
      <c r="J76" s="101"/>
      <c r="K76" s="101"/>
      <c r="L76" s="450"/>
    </row>
    <row r="77" customFormat="false" ht="12.75" hidden="false" customHeight="true" outlineLevel="0" collapsed="false">
      <c r="A77" s="443" t="s">
        <v>301</v>
      </c>
      <c r="B77" s="101" t="s">
        <v>302</v>
      </c>
      <c r="C77" s="101"/>
      <c r="D77" s="101"/>
      <c r="E77" s="101"/>
      <c r="F77" s="101"/>
      <c r="G77" s="101"/>
      <c r="H77" s="101"/>
      <c r="I77" s="101"/>
      <c r="J77" s="444" t="s">
        <v>205</v>
      </c>
      <c r="K77" s="447"/>
      <c r="L77" s="448"/>
      <c r="M77" s="318"/>
    </row>
    <row r="78" customFormat="false" ht="9" hidden="false" customHeight="true" outlineLevel="0" collapsed="false">
      <c r="A78" s="443"/>
      <c r="B78" s="101"/>
      <c r="C78" s="101"/>
      <c r="D78" s="101"/>
      <c r="E78" s="101"/>
      <c r="F78" s="101"/>
      <c r="G78" s="101"/>
      <c r="H78" s="101"/>
      <c r="I78" s="101"/>
      <c r="J78" s="444"/>
      <c r="K78" s="101"/>
      <c r="L78" s="450"/>
      <c r="M78" s="318"/>
    </row>
    <row r="79" customFormat="false" ht="12.75" hidden="false" customHeight="true" outlineLevel="0" collapsed="false">
      <c r="A79" s="443"/>
      <c r="B79" s="451" t="s">
        <v>303</v>
      </c>
      <c r="C79" s="451"/>
      <c r="D79" s="451"/>
      <c r="E79" s="101"/>
      <c r="F79" s="101"/>
      <c r="G79" s="101"/>
      <c r="H79" s="101"/>
      <c r="I79" s="101"/>
      <c r="J79" s="444"/>
      <c r="K79" s="101"/>
      <c r="L79" s="452"/>
      <c r="M79" s="318"/>
    </row>
    <row r="80" customFormat="false" ht="12.75" hidden="false" customHeight="true" outlineLevel="0" collapsed="false">
      <c r="A80" s="453" t="s">
        <v>304</v>
      </c>
      <c r="B80" s="451"/>
      <c r="C80" s="451"/>
      <c r="D80" s="451"/>
      <c r="E80" s="101" t="s">
        <v>205</v>
      </c>
      <c r="F80" s="454"/>
      <c r="G80" s="444" t="s">
        <v>305</v>
      </c>
      <c r="H80" s="101" t="n">
        <v>0.6</v>
      </c>
      <c r="I80" s="101" t="s">
        <v>306</v>
      </c>
      <c r="J80" s="444" t="s">
        <v>205</v>
      </c>
      <c r="K80" s="455" t="n">
        <f aca="false">IF(F80&gt;0,F80*H80,0)</f>
        <v>0</v>
      </c>
      <c r="L80" s="456"/>
      <c r="M80" s="318"/>
    </row>
    <row r="81" customFormat="false" ht="6" hidden="false" customHeight="true" outlineLevel="0" collapsed="false">
      <c r="A81" s="443"/>
      <c r="B81" s="101"/>
      <c r="C81" s="101"/>
      <c r="D81" s="101"/>
      <c r="E81" s="101"/>
      <c r="F81" s="101"/>
      <c r="G81" s="101"/>
      <c r="H81" s="101"/>
      <c r="I81" s="101"/>
      <c r="J81" s="444"/>
      <c r="K81" s="101"/>
      <c r="L81" s="450"/>
      <c r="M81" s="318"/>
    </row>
    <row r="82" customFormat="false" ht="14.65" hidden="false" customHeight="true" outlineLevel="0" collapsed="false">
      <c r="A82" s="443"/>
      <c r="B82" s="101"/>
      <c r="C82" s="101"/>
      <c r="D82" s="101"/>
      <c r="E82" s="101"/>
      <c r="F82" s="101"/>
      <c r="G82" s="101"/>
      <c r="H82" s="101"/>
      <c r="I82" s="101"/>
      <c r="J82" s="444"/>
      <c r="K82" s="101"/>
      <c r="L82" s="450"/>
      <c r="M82" s="318"/>
    </row>
    <row r="83" customFormat="false" ht="12.75" hidden="false" customHeight="true" outlineLevel="0" collapsed="false">
      <c r="A83" s="443"/>
      <c r="B83" s="157"/>
      <c r="C83" s="101"/>
      <c r="D83" s="101"/>
      <c r="E83" s="101"/>
      <c r="F83" s="101"/>
      <c r="G83" s="101"/>
      <c r="H83" s="101"/>
      <c r="I83" s="101"/>
      <c r="J83" s="444"/>
      <c r="K83" s="457"/>
      <c r="L83" s="448"/>
      <c r="M83" s="318"/>
    </row>
    <row r="84" customFormat="false" ht="8.25" hidden="false" customHeight="true" outlineLevel="0" collapsed="false">
      <c r="A84" s="443"/>
      <c r="B84" s="157"/>
      <c r="C84" s="101"/>
      <c r="D84" s="101"/>
      <c r="E84" s="101"/>
      <c r="F84" s="101"/>
      <c r="G84" s="101"/>
      <c r="H84" s="101"/>
      <c r="I84" s="101"/>
      <c r="J84" s="444"/>
      <c r="K84" s="101"/>
      <c r="L84" s="450"/>
      <c r="M84" s="318"/>
    </row>
    <row r="85" customFormat="false" ht="12.75" hidden="false" customHeight="true" outlineLevel="0" collapsed="false">
      <c r="A85" s="443" t="s">
        <v>307</v>
      </c>
      <c r="B85" s="101" t="s">
        <v>308</v>
      </c>
      <c r="C85" s="101"/>
      <c r="D85" s="101"/>
      <c r="E85" s="101"/>
      <c r="F85" s="101"/>
      <c r="G85" s="101"/>
      <c r="H85" s="101"/>
      <c r="I85" s="101"/>
      <c r="J85" s="444" t="s">
        <v>205</v>
      </c>
      <c r="K85" s="458" t="n">
        <f aca="false">K77+K80+K83</f>
        <v>0</v>
      </c>
      <c r="L85" s="459"/>
      <c r="M85" s="318"/>
    </row>
    <row r="86" customFormat="false" ht="8.25" hidden="false" customHeight="true" outlineLevel="0" collapsed="false">
      <c r="A86" s="443"/>
      <c r="B86" s="101"/>
      <c r="C86" s="101"/>
      <c r="D86" s="101"/>
      <c r="E86" s="101"/>
      <c r="F86" s="101"/>
      <c r="G86" s="101"/>
      <c r="H86" s="101"/>
      <c r="I86" s="101"/>
      <c r="J86" s="444"/>
      <c r="K86" s="101"/>
      <c r="L86" s="450"/>
      <c r="M86" s="318"/>
    </row>
    <row r="87" customFormat="false" ht="14.65" hidden="false" customHeight="true" outlineLevel="0" collapsed="false">
      <c r="A87" s="443" t="s">
        <v>309</v>
      </c>
      <c r="B87" s="101" t="s">
        <v>310</v>
      </c>
      <c r="C87" s="101"/>
      <c r="D87" s="101"/>
      <c r="E87" s="101"/>
      <c r="F87" s="101"/>
      <c r="G87" s="101"/>
      <c r="H87" s="101"/>
      <c r="I87" s="101"/>
      <c r="J87" s="444"/>
      <c r="K87" s="101"/>
      <c r="L87" s="450"/>
      <c r="M87" s="318"/>
    </row>
    <row r="88" customFormat="false" ht="12.75" hidden="false" customHeight="true" outlineLevel="0" collapsed="false">
      <c r="A88" s="443"/>
      <c r="B88" s="157" t="s">
        <v>311</v>
      </c>
      <c r="C88" s="101"/>
      <c r="D88" s="101"/>
      <c r="E88" s="101"/>
      <c r="F88" s="101"/>
      <c r="G88" s="101"/>
      <c r="H88" s="101"/>
      <c r="I88" s="101"/>
      <c r="J88" s="444" t="s">
        <v>206</v>
      </c>
      <c r="K88" s="455" t="n">
        <f aca="false">'costo-mq'!$O$82</f>
        <v>312.7311</v>
      </c>
      <c r="L88" s="456"/>
    </row>
    <row r="89" customFormat="false" ht="6" hidden="false" customHeight="true" outlineLevel="0" collapsed="false">
      <c r="A89" s="443"/>
      <c r="B89" s="101"/>
      <c r="C89" s="101"/>
      <c r="D89" s="101"/>
      <c r="E89" s="101"/>
      <c r="F89" s="101"/>
      <c r="G89" s="101"/>
      <c r="H89" s="101"/>
      <c r="I89" s="101"/>
      <c r="J89" s="444"/>
      <c r="K89" s="154"/>
      <c r="L89" s="460"/>
      <c r="M89" s="318"/>
    </row>
    <row r="90" customFormat="false" ht="18" hidden="false" customHeight="true" outlineLevel="0" collapsed="false">
      <c r="A90" s="443"/>
      <c r="B90" s="101"/>
      <c r="C90" s="101"/>
      <c r="D90" s="101"/>
      <c r="E90" s="101"/>
      <c r="F90" s="101"/>
      <c r="G90" s="101"/>
      <c r="H90" s="461"/>
      <c r="I90" s="101"/>
      <c r="J90" s="444"/>
      <c r="K90" s="154"/>
      <c r="L90" s="460"/>
      <c r="M90" s="462"/>
    </row>
    <row r="91" customFormat="false" ht="6" hidden="false" customHeight="true" outlineLevel="0" collapsed="false">
      <c r="A91" s="443"/>
      <c r="B91" s="101"/>
      <c r="C91" s="101"/>
      <c r="D91" s="101"/>
      <c r="E91" s="101"/>
      <c r="F91" s="101"/>
      <c r="G91" s="101"/>
      <c r="H91" s="101"/>
      <c r="I91" s="101"/>
      <c r="J91" s="444"/>
      <c r="K91" s="154"/>
      <c r="L91" s="463"/>
      <c r="M91" s="318"/>
    </row>
    <row r="92" customFormat="false" ht="12.75" hidden="false" customHeight="true" outlineLevel="0" collapsed="false">
      <c r="A92" s="443" t="s">
        <v>312</v>
      </c>
      <c r="B92" s="464" t="s">
        <v>313</v>
      </c>
      <c r="C92" s="465"/>
      <c r="D92" s="465"/>
      <c r="E92" s="465"/>
      <c r="F92" s="465"/>
      <c r="G92" s="465"/>
      <c r="H92" s="465"/>
      <c r="I92" s="465"/>
      <c r="J92" s="466" t="s">
        <v>169</v>
      </c>
      <c r="K92" s="458" t="n">
        <f aca="false">K85*K88</f>
        <v>0</v>
      </c>
      <c r="L92" s="459"/>
      <c r="M92" s="318"/>
    </row>
    <row r="93" customFormat="false" ht="14.65" hidden="false" customHeight="true" outlineLevel="0" collapsed="false">
      <c r="A93" s="167"/>
      <c r="B93" s="142"/>
      <c r="C93" s="142"/>
      <c r="D93" s="142"/>
      <c r="E93" s="142"/>
      <c r="F93" s="142"/>
      <c r="G93" s="142"/>
      <c r="H93" s="142"/>
      <c r="I93" s="142"/>
      <c r="J93" s="142"/>
      <c r="K93" s="142"/>
      <c r="L93" s="379"/>
      <c r="M93" s="318"/>
    </row>
    <row r="94" customFormat="false" ht="5.1" hidden="false" customHeight="true" outlineLevel="0" collapsed="false">
      <c r="A94" s="167"/>
      <c r="B94" s="142"/>
      <c r="C94" s="142"/>
      <c r="D94" s="142"/>
      <c r="E94" s="142"/>
      <c r="F94" s="142"/>
      <c r="G94" s="142"/>
      <c r="H94" s="142"/>
      <c r="I94" s="142"/>
      <c r="J94" s="142"/>
      <c r="K94" s="142"/>
      <c r="L94" s="379"/>
      <c r="M94" s="318"/>
    </row>
    <row r="95" customFormat="false" ht="14.65" hidden="false" customHeight="true" outlineLevel="0" collapsed="false">
      <c r="A95" s="467" t="s">
        <v>314</v>
      </c>
      <c r="B95" s="467"/>
      <c r="C95" s="467"/>
      <c r="D95" s="467"/>
      <c r="E95" s="467"/>
      <c r="F95" s="467"/>
      <c r="G95" s="467"/>
      <c r="H95" s="467"/>
      <c r="I95" s="467"/>
      <c r="J95" s="467"/>
      <c r="K95" s="467"/>
      <c r="L95" s="467"/>
      <c r="M95" s="318"/>
    </row>
    <row r="96" customFormat="false" ht="5.1" hidden="false" customHeight="true" outlineLevel="0" collapsed="false">
      <c r="A96" s="167"/>
      <c r="B96" s="142"/>
      <c r="C96" s="142"/>
      <c r="D96" s="142"/>
      <c r="E96" s="142"/>
      <c r="F96" s="142"/>
      <c r="G96" s="142"/>
      <c r="H96" s="142"/>
      <c r="I96" s="142"/>
      <c r="J96" s="142"/>
      <c r="K96" s="142"/>
      <c r="L96" s="379"/>
      <c r="M96" s="318"/>
    </row>
    <row r="97" customFormat="false" ht="16.5" hidden="false" customHeight="true" outlineLevel="0" collapsed="false">
      <c r="A97" s="167"/>
      <c r="B97" s="352" t="s">
        <v>225</v>
      </c>
      <c r="C97" s="142"/>
      <c r="D97" s="383" t="s">
        <v>315</v>
      </c>
      <c r="E97" s="383"/>
      <c r="F97" s="388" t="s">
        <v>316</v>
      </c>
      <c r="G97" s="142"/>
      <c r="H97" s="142"/>
      <c r="I97" s="383" t="s">
        <v>317</v>
      </c>
      <c r="J97" s="383"/>
      <c r="K97" s="383"/>
      <c r="L97" s="379"/>
      <c r="M97" s="318"/>
    </row>
    <row r="98" customFormat="false" ht="11.25" hidden="false" customHeight="true" outlineLevel="0" collapsed="false">
      <c r="A98" s="167"/>
      <c r="B98" s="142"/>
      <c r="C98" s="142"/>
      <c r="D98" s="383"/>
      <c r="E98" s="383"/>
      <c r="F98" s="355"/>
      <c r="G98" s="142"/>
      <c r="H98" s="142"/>
      <c r="I98" s="383"/>
      <c r="J98" s="383"/>
      <c r="K98" s="383"/>
      <c r="L98" s="379"/>
      <c r="M98" s="318"/>
      <c r="N98" s="468" t="n">
        <f aca="false">SUM(E102:E112)</f>
        <v>0.07</v>
      </c>
      <c r="P98" s="468" t="n">
        <f aca="false">SUM(J100:J112)</f>
        <v>0.07</v>
      </c>
    </row>
    <row r="99" customFormat="false" ht="6" hidden="false" customHeight="true" outlineLevel="0" collapsed="false">
      <c r="A99" s="167"/>
      <c r="B99" s="142"/>
      <c r="C99" s="142"/>
      <c r="D99" s="383"/>
      <c r="E99" s="383"/>
      <c r="F99" s="355"/>
      <c r="G99" s="142"/>
      <c r="H99" s="142"/>
      <c r="I99" s="383"/>
      <c r="J99" s="383"/>
      <c r="K99" s="383"/>
      <c r="L99" s="379"/>
      <c r="M99" s="318"/>
    </row>
    <row r="100" customFormat="false" ht="13.5" hidden="false" customHeight="true" outlineLevel="0" collapsed="false">
      <c r="A100" s="167"/>
      <c r="B100" s="142"/>
      <c r="C100" s="142"/>
      <c r="D100" s="383"/>
      <c r="E100" s="383"/>
      <c r="F100" s="205" t="s">
        <v>318</v>
      </c>
      <c r="G100" s="403" t="str">
        <f aca="false">IF(K75&gt;60,"X","-")</f>
        <v>-</v>
      </c>
      <c r="H100" s="142"/>
      <c r="I100" s="142"/>
      <c r="J100" s="469"/>
      <c r="K100" s="383"/>
      <c r="L100" s="379"/>
      <c r="M100" s="318"/>
    </row>
    <row r="101" customFormat="false" ht="6" hidden="false" customHeight="true" outlineLevel="0" collapsed="false">
      <c r="A101" s="167"/>
      <c r="B101" s="142"/>
      <c r="C101" s="142"/>
      <c r="D101" s="142"/>
      <c r="E101" s="142"/>
      <c r="K101" s="142"/>
      <c r="L101" s="379"/>
      <c r="M101" s="318"/>
    </row>
    <row r="102" customFormat="false" ht="14.65" hidden="false" customHeight="true" outlineLevel="0" collapsed="false">
      <c r="A102" s="167"/>
      <c r="B102" s="295" t="s">
        <v>319</v>
      </c>
      <c r="C102" s="403" t="str">
        <f aca="false">IF(K73&gt;160,"X","-")</f>
        <v>-</v>
      </c>
      <c r="D102" s="142"/>
      <c r="E102" s="470" t="str">
        <f aca="false">IF($C$49="X"," ",IF(C102="X",N102,IF(C102="-"," ",0)))</f>
        <v> </v>
      </c>
      <c r="F102" s="205" t="s">
        <v>320</v>
      </c>
      <c r="G102" s="403" t="str">
        <f aca="false">IF(K75&gt;60,"-",IF(K75&gt;55,"X","-"))</f>
        <v>-</v>
      </c>
      <c r="H102" s="142"/>
      <c r="I102" s="142"/>
      <c r="J102" s="469" t="str">
        <f aca="false">O102</f>
        <v> </v>
      </c>
      <c r="L102" s="379"/>
      <c r="M102" s="471" t="n">
        <f aca="false">IF(E102=" ",0,IF(G102="x","9%",IF(G100="x","10%",0)))</f>
        <v>0</v>
      </c>
      <c r="N102" s="472" t="n">
        <v>0.09</v>
      </c>
      <c r="O102" s="473" t="str">
        <f aca="false">IF(E102&lt;&gt;" ",IF(K75&gt;60,P102,N102)," ")</f>
        <v> </v>
      </c>
      <c r="P102" s="472" t="n">
        <v>0.1</v>
      </c>
    </row>
    <row r="103" customFormat="false" ht="6" hidden="false" customHeight="true" outlineLevel="0" collapsed="false">
      <c r="A103" s="167"/>
      <c r="B103" s="295"/>
      <c r="C103" s="142"/>
      <c r="D103" s="142"/>
      <c r="E103" s="105"/>
      <c r="F103" s="205"/>
      <c r="G103" s="142"/>
      <c r="H103" s="142"/>
      <c r="I103" s="142"/>
      <c r="J103" s="156"/>
      <c r="L103" s="379"/>
      <c r="M103" s="474"/>
    </row>
    <row r="104" customFormat="false" ht="12.75" hidden="false" customHeight="true" outlineLevel="0" collapsed="false">
      <c r="A104" s="167"/>
      <c r="B104" s="295" t="s">
        <v>321</v>
      </c>
      <c r="C104" s="403" t="str">
        <f aca="false">IF(K73&gt;160,"-",IF(K73&lt;130,"-",IF(K73&lt;160,"X",0)))</f>
        <v>-</v>
      </c>
      <c r="D104" s="142"/>
      <c r="E104" s="470" t="str">
        <f aca="false">IF($C$49="X"," ",IF(C104="X",N104,IF(C104="-"," ",0)))</f>
        <v> </v>
      </c>
      <c r="F104" s="205" t="s">
        <v>322</v>
      </c>
      <c r="G104" s="403" t="str">
        <f aca="false">IF(K75&gt;55,"-",IF(K75&gt;50,"X","-"))</f>
        <v>-</v>
      </c>
      <c r="H104" s="142"/>
      <c r="I104" s="142"/>
      <c r="J104" s="469" t="str">
        <f aca="false">O104</f>
        <v> </v>
      </c>
      <c r="K104" s="475"/>
      <c r="L104" s="379"/>
      <c r="M104" s="471" t="n">
        <f aca="false">IF(E104=" ",0,IF(G102="x","9%",IF(E102="-","8%",0)))</f>
        <v>0</v>
      </c>
      <c r="N104" s="472" t="n">
        <v>0.08</v>
      </c>
      <c r="O104" s="425" t="str">
        <f aca="false">IF(E104&lt;&gt;" ",IF(K75&gt;55,P104,N104)," ")</f>
        <v> </v>
      </c>
      <c r="P104" s="472" t="n">
        <v>0.09</v>
      </c>
    </row>
    <row r="105" customFormat="false" ht="5.1" hidden="false" customHeight="true" outlineLevel="0" collapsed="false">
      <c r="A105" s="167"/>
      <c r="B105" s="295"/>
      <c r="C105" s="142"/>
      <c r="D105" s="142"/>
      <c r="E105" s="105"/>
      <c r="F105" s="205"/>
      <c r="G105" s="142"/>
      <c r="H105" s="142"/>
      <c r="I105" s="142"/>
      <c r="J105" s="156"/>
      <c r="K105" s="142"/>
      <c r="L105" s="379"/>
      <c r="M105" s="471"/>
    </row>
    <row r="106" customFormat="false" ht="14.65" hidden="false" customHeight="true" outlineLevel="0" collapsed="false">
      <c r="A106" s="167"/>
      <c r="B106" s="295" t="s">
        <v>323</v>
      </c>
      <c r="C106" s="403" t="str">
        <f aca="false">IF(K73&gt;130,"-",IF(K73&lt;110,"-",IF(K73&lt;130,"X",0)))</f>
        <v>-</v>
      </c>
      <c r="D106" s="142"/>
      <c r="E106" s="470" t="str">
        <f aca="false">IF($C$49="X"," ",IF(C106="X",N106,IF(C106="-"," ",0)))</f>
        <v> </v>
      </c>
      <c r="F106" s="205" t="s">
        <v>324</v>
      </c>
      <c r="G106" s="403" t="str">
        <f aca="false">IF(K75&gt;50,"-",IF(K75&gt;45,"X","-"))</f>
        <v>-</v>
      </c>
      <c r="H106" s="142"/>
      <c r="I106" s="142"/>
      <c r="J106" s="469" t="str">
        <f aca="false">O106</f>
        <v> </v>
      </c>
      <c r="K106" s="475"/>
      <c r="L106" s="379"/>
      <c r="M106" s="471" t="n">
        <f aca="false">IF(E106=" ",0,IF(G104="x","9%",IF(G102="x","9%",IF(E106="8%","8%",0))))</f>
        <v>0</v>
      </c>
      <c r="N106" s="472" t="n">
        <v>0.08</v>
      </c>
      <c r="O106" s="425" t="str">
        <f aca="false">IF(E106&lt;&gt;" ",IF(K75&gt;50,P106,N106)," ")</f>
        <v> </v>
      </c>
      <c r="P106" s="472" t="n">
        <v>0.09</v>
      </c>
    </row>
    <row r="107" customFormat="false" ht="5.1" hidden="false" customHeight="true" outlineLevel="0" collapsed="false">
      <c r="A107" s="167"/>
      <c r="B107" s="295"/>
      <c r="C107" s="142"/>
      <c r="D107" s="142"/>
      <c r="E107" s="105"/>
      <c r="F107" s="205"/>
      <c r="G107" s="142"/>
      <c r="H107" s="142"/>
      <c r="I107" s="142"/>
      <c r="J107" s="156"/>
      <c r="K107" s="142"/>
      <c r="L107" s="379"/>
      <c r="M107" s="471"/>
    </row>
    <row r="108" customFormat="false" ht="14.65" hidden="false" customHeight="true" outlineLevel="0" collapsed="false">
      <c r="A108" s="167"/>
      <c r="B108" s="295" t="s">
        <v>325</v>
      </c>
      <c r="C108" s="403" t="str">
        <f aca="false">IF(K73&gt;110,"-",IF(K73&lt;95,"-",IF(K73&lt;110,"X",0)))</f>
        <v>-</v>
      </c>
      <c r="D108" s="142"/>
      <c r="E108" s="470" t="str">
        <f aca="false">IF($C$49="X"," ",IF(C108="X",N108,IF(C108="-"," ",0)))</f>
        <v> </v>
      </c>
      <c r="F108" s="205" t="s">
        <v>326</v>
      </c>
      <c r="G108" s="403" t="str">
        <f aca="false">IF(K75&gt;45,"-",IF(K75&gt;40,"X","-"))</f>
        <v>-</v>
      </c>
      <c r="H108" s="142"/>
      <c r="I108" s="142"/>
      <c r="J108" s="469" t="str">
        <f aca="false">O108</f>
        <v> </v>
      </c>
      <c r="K108" s="475"/>
      <c r="L108" s="379"/>
      <c r="M108" s="471" t="n">
        <f aca="false">IF(E108=" ",0,IF(G106="x","8%",IF(G104="x","8%",IF(G102="x","8%",IF(E108="7%","7%",0)))))</f>
        <v>0</v>
      </c>
      <c r="N108" s="472" t="n">
        <v>0.07</v>
      </c>
      <c r="O108" s="425" t="str">
        <f aca="false">IF(E108&lt;&gt;" ",IF(K75&gt;45,P108,N108)," ")</f>
        <v> </v>
      </c>
      <c r="P108" s="472" t="n">
        <v>0.08</v>
      </c>
    </row>
    <row r="109" customFormat="false" ht="5.1" hidden="false" customHeight="true" outlineLevel="0" collapsed="false">
      <c r="A109" s="167"/>
      <c r="B109" s="295"/>
      <c r="C109" s="142"/>
      <c r="D109" s="142"/>
      <c r="E109" s="105"/>
      <c r="F109" s="205"/>
      <c r="G109" s="142"/>
      <c r="H109" s="142"/>
      <c r="I109" s="142"/>
      <c r="J109" s="156"/>
      <c r="K109" s="142"/>
      <c r="L109" s="379"/>
      <c r="M109" s="474"/>
    </row>
    <row r="110" customFormat="false" ht="14.65" hidden="false" customHeight="true" outlineLevel="0" collapsed="false">
      <c r="A110" s="167"/>
      <c r="B110" s="295" t="s">
        <v>327</v>
      </c>
      <c r="C110" s="403" t="str">
        <f aca="false">IF(K73&lt;95,"X","-")</f>
        <v>X</v>
      </c>
      <c r="D110" s="142"/>
      <c r="E110" s="469" t="n">
        <f aca="false">IF($C$49="X"," ",IF(C110="X",N110,IF(C110="-"," ",0)))</f>
        <v>0.07</v>
      </c>
      <c r="F110" s="205" t="s">
        <v>328</v>
      </c>
      <c r="G110" s="403" t="str">
        <f aca="false">IF(K75&lt;=40,"X","-")</f>
        <v>X</v>
      </c>
      <c r="H110" s="142"/>
      <c r="I110" s="142"/>
      <c r="J110" s="469" t="n">
        <f aca="false">O110</f>
        <v>0.07</v>
      </c>
      <c r="K110" s="475"/>
      <c r="L110" s="379"/>
      <c r="M110" s="471" t="n">
        <f aca="false">IF(E110=" ",0,IF(G108="x","8%",IF(G106="x","8%",IF(G104="x","8%",IF(G102="x","8%",IF(E110="7%","7%",0))))))</f>
        <v>0</v>
      </c>
      <c r="N110" s="472" t="n">
        <v>0.07</v>
      </c>
      <c r="O110" s="472" t="n">
        <f aca="false">IF(E110&lt;&gt;" ",IF(K75&gt;40,P110,N110)," ")</f>
        <v>0.07</v>
      </c>
      <c r="P110" s="472" t="n">
        <v>0.08</v>
      </c>
    </row>
    <row r="111" customFormat="false" ht="5.1" hidden="false" customHeight="true" outlineLevel="0" collapsed="false">
      <c r="A111" s="167"/>
      <c r="B111" s="142"/>
      <c r="C111" s="142"/>
      <c r="D111" s="142"/>
      <c r="E111" s="105"/>
      <c r="K111" s="142"/>
      <c r="L111" s="379"/>
      <c r="M111" s="474"/>
    </row>
    <row r="112" customFormat="false" ht="14.65" hidden="false" customHeight="true" outlineLevel="0" collapsed="false">
      <c r="A112" s="167"/>
      <c r="B112" s="295" t="s">
        <v>329</v>
      </c>
      <c r="C112" s="476"/>
      <c r="D112" s="142"/>
      <c r="E112" s="475" t="str">
        <f aca="false">IF(C112="X",N112," ")</f>
        <v> </v>
      </c>
      <c r="J112" s="477" t="str">
        <f aca="false">E112</f>
        <v> </v>
      </c>
      <c r="K112" s="475" t="s">
        <v>330</v>
      </c>
      <c r="L112" s="379"/>
      <c r="M112" s="471" t="n">
        <f aca="false">IF(J112=" ",0,IF(J112="10%",0.1,0))</f>
        <v>0</v>
      </c>
      <c r="N112" s="472" t="n">
        <v>0.1</v>
      </c>
    </row>
    <row r="113" customFormat="false" ht="9" hidden="false" customHeight="true" outlineLevel="0" collapsed="false">
      <c r="A113" s="167"/>
      <c r="B113" s="142"/>
      <c r="C113" s="142"/>
      <c r="D113" s="142"/>
      <c r="E113" s="142"/>
      <c r="F113" s="142"/>
      <c r="G113" s="142"/>
      <c r="H113" s="142"/>
      <c r="I113" s="142"/>
      <c r="J113" s="142"/>
      <c r="K113" s="142"/>
      <c r="L113" s="379"/>
      <c r="M113" s="471" t="n">
        <f aca="false">M102+M104+M106+M108+M110+M112</f>
        <v>0</v>
      </c>
    </row>
    <row r="114" customFormat="false" ht="6" hidden="false" customHeight="true" outlineLevel="0" collapsed="false">
      <c r="A114" s="167"/>
      <c r="B114" s="142"/>
      <c r="C114" s="142"/>
      <c r="D114" s="142"/>
      <c r="E114" s="142"/>
      <c r="F114" s="142"/>
      <c r="G114" s="142"/>
      <c r="H114" s="142"/>
      <c r="I114" s="142"/>
      <c r="J114" s="142"/>
      <c r="K114" s="142"/>
      <c r="L114" s="379"/>
      <c r="M114" s="318"/>
    </row>
    <row r="115" customFormat="false" ht="12.75" hidden="false" customHeight="true" outlineLevel="0" collapsed="false">
      <c r="A115" s="167"/>
      <c r="B115" s="142" t="s">
        <v>331</v>
      </c>
      <c r="C115" s="142"/>
      <c r="D115" s="142"/>
      <c r="E115" s="142"/>
      <c r="F115" s="142"/>
      <c r="G115" s="476"/>
      <c r="H115" s="142"/>
      <c r="I115" s="142"/>
      <c r="J115" s="142"/>
      <c r="K115" s="142"/>
      <c r="L115" s="379"/>
      <c r="M115" s="318"/>
      <c r="N115" s="425" t="n">
        <f aca="false">IF(G115="X",1,0)</f>
        <v>0</v>
      </c>
    </row>
    <row r="116" customFormat="false" ht="6" hidden="false" customHeight="true" outlineLevel="0" collapsed="false">
      <c r="A116" s="167"/>
      <c r="B116" s="142"/>
      <c r="C116" s="142"/>
      <c r="D116" s="142"/>
      <c r="E116" s="142"/>
      <c r="F116" s="142"/>
      <c r="G116" s="295"/>
      <c r="H116" s="142"/>
      <c r="I116" s="142"/>
      <c r="J116" s="142"/>
      <c r="K116" s="142"/>
      <c r="L116" s="379"/>
      <c r="M116" s="318"/>
    </row>
    <row r="117" customFormat="false" ht="14.65" hidden="false" customHeight="true" outlineLevel="0" collapsed="false">
      <c r="A117" s="167"/>
      <c r="B117" s="142" t="s">
        <v>332</v>
      </c>
      <c r="C117" s="142"/>
      <c r="D117" s="142"/>
      <c r="E117" s="142"/>
      <c r="F117" s="142"/>
      <c r="G117" s="476" t="s">
        <v>238</v>
      </c>
      <c r="H117" s="142"/>
      <c r="I117" s="142"/>
      <c r="J117" s="142"/>
      <c r="K117" s="142"/>
      <c r="L117" s="379"/>
      <c r="M117" s="318"/>
      <c r="N117" s="425" t="n">
        <f aca="false">IF(G117="X",1,0)</f>
        <v>0</v>
      </c>
    </row>
    <row r="118" customFormat="false" ht="5.1" hidden="false" customHeight="true" outlineLevel="0" collapsed="false">
      <c r="A118" s="167"/>
      <c r="B118" s="142"/>
      <c r="C118" s="142"/>
      <c r="D118" s="142"/>
      <c r="E118" s="142"/>
      <c r="F118" s="142"/>
      <c r="G118" s="295"/>
      <c r="H118" s="142"/>
      <c r="I118" s="142"/>
      <c r="J118" s="142"/>
      <c r="K118" s="142"/>
      <c r="L118" s="379"/>
      <c r="M118" s="318"/>
    </row>
    <row r="119" customFormat="false" ht="12.75" hidden="false" customHeight="true" outlineLevel="0" collapsed="false">
      <c r="A119" s="167"/>
      <c r="B119" s="142" t="s">
        <v>333</v>
      </c>
      <c r="C119" s="142"/>
      <c r="D119" s="142"/>
      <c r="E119" s="142"/>
      <c r="F119" s="142"/>
      <c r="G119" s="476"/>
      <c r="H119" s="142"/>
      <c r="I119" s="142"/>
      <c r="J119" s="142"/>
      <c r="K119" s="142"/>
      <c r="L119" s="379"/>
      <c r="M119" s="318"/>
      <c r="N119" s="425" t="n">
        <f aca="false">IF(G119="X",1,0)</f>
        <v>0</v>
      </c>
    </row>
    <row r="120" customFormat="false" ht="4.5" hidden="false" customHeight="true" outlineLevel="0" collapsed="false">
      <c r="A120" s="167"/>
      <c r="B120" s="142"/>
      <c r="C120" s="142"/>
      <c r="D120" s="142"/>
      <c r="E120" s="142"/>
      <c r="F120" s="142"/>
      <c r="G120" s="486"/>
      <c r="H120" s="142"/>
      <c r="I120" s="142"/>
      <c r="J120" s="142"/>
      <c r="K120" s="142"/>
      <c r="L120" s="379"/>
      <c r="M120" s="318"/>
    </row>
    <row r="121" customFormat="false" ht="15" hidden="false" customHeight="true" outlineLevel="0" collapsed="false">
      <c r="A121" s="167"/>
      <c r="B121" s="142" t="s">
        <v>334</v>
      </c>
      <c r="C121" s="142"/>
      <c r="D121" s="142"/>
      <c r="E121" s="142"/>
      <c r="F121" s="142"/>
      <c r="G121" s="142"/>
      <c r="H121" s="142"/>
      <c r="I121" s="142"/>
      <c r="J121" s="142"/>
      <c r="K121" s="478" t="n">
        <f aca="false">IF(N121&gt;0,O121-0.01,O121)</f>
        <v>0.07</v>
      </c>
      <c r="L121" s="478"/>
      <c r="M121" s="318"/>
      <c r="N121" s="425" t="n">
        <f aca="false">N115+N117+N119</f>
        <v>0</v>
      </c>
      <c r="O121" s="473" t="n">
        <f aca="false">IF(J112&lt;&gt;" ",J112,P98)</f>
        <v>0.07</v>
      </c>
    </row>
    <row r="122" customFormat="false" ht="4.5" hidden="false" customHeight="true" outlineLevel="0" collapsed="false">
      <c r="A122" s="167"/>
      <c r="B122" s="142"/>
      <c r="C122" s="142"/>
      <c r="D122" s="142"/>
      <c r="E122" s="142"/>
      <c r="F122" s="142"/>
      <c r="G122" s="142"/>
      <c r="H122" s="142"/>
      <c r="I122" s="142"/>
      <c r="J122" s="142"/>
      <c r="K122" s="142"/>
      <c r="L122" s="379"/>
      <c r="M122" s="318"/>
    </row>
    <row r="123" customFormat="false" ht="4.5" hidden="false" customHeight="true" outlineLevel="0" collapsed="false">
      <c r="A123" s="167"/>
      <c r="B123" s="142"/>
      <c r="C123" s="142"/>
      <c r="D123" s="142"/>
      <c r="E123" s="142"/>
      <c r="F123" s="142"/>
      <c r="G123" s="142"/>
      <c r="H123" s="142"/>
      <c r="I123" s="142"/>
      <c r="J123" s="142"/>
      <c r="K123" s="142"/>
      <c r="L123" s="379"/>
      <c r="M123" s="318"/>
    </row>
    <row r="124" customFormat="false" ht="12.75" hidden="false" customHeight="true" outlineLevel="0" collapsed="false">
      <c r="A124" s="467" t="s">
        <v>335</v>
      </c>
      <c r="B124" s="467"/>
      <c r="C124" s="467"/>
      <c r="D124" s="467"/>
      <c r="E124" s="467"/>
      <c r="F124" s="467"/>
      <c r="G124" s="467"/>
      <c r="H124" s="467"/>
      <c r="I124" s="467"/>
      <c r="J124" s="467"/>
      <c r="K124" s="467"/>
      <c r="L124" s="467"/>
      <c r="M124" s="318"/>
    </row>
    <row r="125" customFormat="false" ht="6" hidden="false" customHeight="true" outlineLevel="0" collapsed="false">
      <c r="A125" s="167"/>
      <c r="B125" s="142"/>
      <c r="C125" s="142"/>
      <c r="D125" s="142"/>
      <c r="E125" s="142"/>
      <c r="F125" s="142"/>
      <c r="G125" s="142"/>
      <c r="H125" s="142"/>
      <c r="I125" s="142"/>
      <c r="J125" s="142"/>
      <c r="K125" s="142"/>
      <c r="L125" s="379"/>
      <c r="M125" s="318"/>
    </row>
    <row r="126" customFormat="false" ht="18" hidden="false" customHeight="true" outlineLevel="0" collapsed="false">
      <c r="A126" s="167"/>
      <c r="B126" s="142" t="s">
        <v>336</v>
      </c>
      <c r="C126" s="142"/>
      <c r="D126" s="142"/>
      <c r="E126" s="142"/>
      <c r="F126" s="142"/>
      <c r="G126" s="142"/>
      <c r="H126" s="142" t="s">
        <v>169</v>
      </c>
      <c r="I126" s="479" t="n">
        <f aca="false">K92</f>
        <v>0</v>
      </c>
      <c r="J126" s="479"/>
      <c r="K126" s="479"/>
      <c r="L126" s="479"/>
      <c r="M126" s="318"/>
    </row>
    <row r="127" customFormat="false" ht="5.1" hidden="false" customHeight="true" outlineLevel="0" collapsed="false">
      <c r="A127" s="167"/>
      <c r="B127" s="142"/>
      <c r="C127" s="142"/>
      <c r="D127" s="142"/>
      <c r="E127" s="142"/>
      <c r="F127" s="142"/>
      <c r="G127" s="142"/>
      <c r="H127" s="142"/>
      <c r="I127" s="142"/>
      <c r="J127" s="142"/>
      <c r="K127" s="142"/>
      <c r="L127" s="379"/>
      <c r="M127" s="318"/>
    </row>
    <row r="128" customFormat="false" ht="18" hidden="false" customHeight="true" outlineLevel="0" collapsed="false">
      <c r="A128" s="167"/>
      <c r="B128" s="142" t="s">
        <v>337</v>
      </c>
      <c r="C128" s="142"/>
      <c r="D128" s="142"/>
      <c r="E128" s="142"/>
      <c r="F128" s="142"/>
      <c r="G128" s="142"/>
      <c r="H128" s="142" t="s">
        <v>338</v>
      </c>
      <c r="I128" s="480" t="n">
        <f aca="false">K121</f>
        <v>0.07</v>
      </c>
      <c r="J128" s="480"/>
      <c r="K128" s="480"/>
      <c r="L128" s="480"/>
      <c r="M128" s="318"/>
    </row>
    <row r="129" customFormat="false" ht="5.1" hidden="false" customHeight="true" outlineLevel="0" collapsed="false">
      <c r="A129" s="167"/>
      <c r="B129" s="142"/>
      <c r="C129" s="142"/>
      <c r="D129" s="142"/>
      <c r="E129" s="142"/>
      <c r="F129" s="142"/>
      <c r="G129" s="142"/>
      <c r="H129" s="142"/>
      <c r="I129" s="142"/>
      <c r="J129" s="142"/>
      <c r="K129" s="142"/>
      <c r="L129" s="379"/>
      <c r="M129" s="318"/>
    </row>
    <row r="130" customFormat="false" ht="18" hidden="false" customHeight="true" outlineLevel="0" collapsed="false">
      <c r="A130" s="481"/>
      <c r="B130" s="197" t="s">
        <v>339</v>
      </c>
      <c r="C130" s="197"/>
      <c r="D130" s="197"/>
      <c r="E130" s="197"/>
      <c r="F130" s="197"/>
      <c r="G130" s="197"/>
      <c r="H130" s="197" t="s">
        <v>169</v>
      </c>
      <c r="I130" s="482" t="n">
        <f aca="false">I126*I128</f>
        <v>0</v>
      </c>
      <c r="J130" s="482"/>
      <c r="K130" s="482"/>
      <c r="L130" s="482"/>
      <c r="M130" s="318"/>
    </row>
    <row r="131" s="112" customFormat="true" ht="28.35" hidden="false" customHeight="true" outlineLevel="0" collapsed="false">
      <c r="A131" s="483"/>
      <c r="B131" s="484"/>
      <c r="C131" s="484"/>
      <c r="D131" s="484"/>
      <c r="E131" s="484"/>
      <c r="F131" s="484"/>
      <c r="G131" s="484"/>
      <c r="H131" s="484"/>
      <c r="I131" s="484"/>
      <c r="J131" s="484"/>
      <c r="K131" s="484"/>
      <c r="L131" s="485"/>
      <c r="M131" s="430"/>
      <c r="N131" s="118"/>
      <c r="O131" s="118"/>
      <c r="P131" s="118"/>
      <c r="Q131" s="118"/>
      <c r="R131" s="118"/>
    </row>
    <row r="132" s="112" customFormat="true" ht="18.15" hidden="false" customHeight="true" outlineLevel="0" collapsed="false">
      <c r="A132" s="432" t="s">
        <v>161</v>
      </c>
      <c r="B132" s="433"/>
      <c r="C132" s="433"/>
      <c r="D132" s="433"/>
      <c r="E132" s="433"/>
      <c r="F132" s="434" t="s">
        <v>162</v>
      </c>
      <c r="G132" s="435"/>
      <c r="H132" s="435"/>
      <c r="I132" s="123"/>
      <c r="J132" s="436"/>
      <c r="K132" s="434" t="s">
        <v>297</v>
      </c>
      <c r="L132" s="437"/>
      <c r="M132" s="430"/>
      <c r="N132" s="118"/>
      <c r="O132" s="118"/>
      <c r="P132" s="118"/>
      <c r="Q132" s="118"/>
      <c r="R132" s="118"/>
    </row>
    <row r="133" s="112" customFormat="true" ht="9.75" hidden="false" customHeight="true" outlineLevel="0" collapsed="false">
      <c r="A133" s="438"/>
      <c r="B133" s="439"/>
      <c r="C133" s="440"/>
      <c r="D133" s="440"/>
      <c r="E133" s="123"/>
      <c r="F133" s="440"/>
      <c r="G133" s="434"/>
      <c r="H133" s="440"/>
      <c r="I133" s="123"/>
      <c r="J133" s="434"/>
      <c r="K133" s="441"/>
      <c r="L133" s="441"/>
      <c r="M133" s="430"/>
      <c r="N133" s="118"/>
      <c r="O133" s="118"/>
      <c r="P133" s="118"/>
      <c r="Q133" s="118"/>
      <c r="R133" s="118"/>
    </row>
    <row r="134" customFormat="false" ht="14.65" hidden="false" customHeight="true" outlineLevel="0" collapsed="false">
      <c r="A134" s="442" t="s">
        <v>298</v>
      </c>
      <c r="B134" s="442"/>
      <c r="C134" s="442"/>
      <c r="D134" s="442"/>
      <c r="E134" s="442"/>
      <c r="F134" s="442"/>
      <c r="G134" s="442"/>
      <c r="H134" s="442"/>
      <c r="I134" s="442"/>
      <c r="J134" s="442"/>
      <c r="K134" s="442"/>
      <c r="L134" s="442"/>
      <c r="M134" s="318"/>
    </row>
    <row r="135" customFormat="false" ht="9" hidden="false" customHeight="true" outlineLevel="0" collapsed="false">
      <c r="A135" s="443"/>
      <c r="B135" s="444"/>
      <c r="C135" s="101"/>
      <c r="D135" s="101"/>
      <c r="E135" s="101"/>
      <c r="F135" s="101"/>
      <c r="G135" s="101"/>
      <c r="H135" s="101"/>
      <c r="I135" s="101"/>
      <c r="J135" s="101"/>
      <c r="K135" s="101"/>
      <c r="L135" s="445"/>
    </row>
    <row r="136" customFormat="false" ht="12.75" hidden="false" customHeight="true" outlineLevel="0" collapsed="false">
      <c r="A136" s="443"/>
      <c r="B136" s="446" t="s">
        <v>299</v>
      </c>
      <c r="C136" s="101"/>
      <c r="D136" s="101"/>
      <c r="E136" s="101"/>
      <c r="F136" s="101"/>
      <c r="G136" s="101"/>
      <c r="H136" s="101"/>
      <c r="I136" s="101"/>
      <c r="J136" s="101"/>
      <c r="K136" s="447"/>
      <c r="L136" s="448"/>
    </row>
    <row r="137" customFormat="false" ht="9" hidden="false" customHeight="true" outlineLevel="0" collapsed="false">
      <c r="A137" s="443"/>
      <c r="B137" s="444"/>
      <c r="C137" s="101"/>
      <c r="D137" s="101"/>
      <c r="E137" s="101"/>
      <c r="F137" s="101"/>
      <c r="G137" s="101"/>
      <c r="H137" s="101"/>
      <c r="I137" s="101"/>
      <c r="J137" s="101"/>
      <c r="K137" s="449"/>
      <c r="L137" s="448"/>
    </row>
    <row r="138" customFormat="false" ht="12.75" hidden="false" customHeight="true" outlineLevel="0" collapsed="false">
      <c r="A138" s="443"/>
      <c r="B138" s="446" t="s">
        <v>300</v>
      </c>
      <c r="C138" s="101"/>
      <c r="D138" s="101"/>
      <c r="E138" s="101"/>
      <c r="F138" s="101"/>
      <c r="G138" s="101"/>
      <c r="H138" s="101"/>
      <c r="I138" s="101"/>
      <c r="J138" s="101"/>
      <c r="K138" s="447"/>
      <c r="L138" s="448"/>
    </row>
    <row r="139" customFormat="false" ht="6.75" hidden="false" customHeight="true" outlineLevel="0" collapsed="false">
      <c r="A139" s="443"/>
      <c r="B139" s="444"/>
      <c r="C139" s="101"/>
      <c r="D139" s="101"/>
      <c r="E139" s="101"/>
      <c r="F139" s="101"/>
      <c r="G139" s="101"/>
      <c r="H139" s="101"/>
      <c r="I139" s="101"/>
      <c r="J139" s="101"/>
      <c r="K139" s="101"/>
      <c r="L139" s="450"/>
    </row>
    <row r="140" customFormat="false" ht="12.75" hidden="false" customHeight="true" outlineLevel="0" collapsed="false">
      <c r="A140" s="443" t="s">
        <v>301</v>
      </c>
      <c r="B140" s="101" t="s">
        <v>302</v>
      </c>
      <c r="C140" s="101"/>
      <c r="D140" s="101"/>
      <c r="E140" s="101"/>
      <c r="F140" s="101"/>
      <c r="G140" s="101"/>
      <c r="H140" s="101"/>
      <c r="I140" s="101"/>
      <c r="J140" s="444" t="s">
        <v>205</v>
      </c>
      <c r="K140" s="447"/>
      <c r="L140" s="448"/>
      <c r="M140" s="318"/>
    </row>
    <row r="141" customFormat="false" ht="9" hidden="false" customHeight="true" outlineLevel="0" collapsed="false">
      <c r="A141" s="443"/>
      <c r="B141" s="101"/>
      <c r="C141" s="101"/>
      <c r="D141" s="101"/>
      <c r="E141" s="101"/>
      <c r="F141" s="101"/>
      <c r="G141" s="101"/>
      <c r="H141" s="101"/>
      <c r="I141" s="101"/>
      <c r="J141" s="444"/>
      <c r="K141" s="101"/>
      <c r="L141" s="450"/>
      <c r="M141" s="318"/>
    </row>
    <row r="142" customFormat="false" ht="12.75" hidden="false" customHeight="true" outlineLevel="0" collapsed="false">
      <c r="A142" s="443"/>
      <c r="B142" s="451" t="s">
        <v>303</v>
      </c>
      <c r="C142" s="451"/>
      <c r="D142" s="451"/>
      <c r="E142" s="101"/>
      <c r="F142" s="101"/>
      <c r="G142" s="101"/>
      <c r="H142" s="101"/>
      <c r="I142" s="101"/>
      <c r="J142" s="444"/>
      <c r="K142" s="101"/>
      <c r="L142" s="452"/>
      <c r="M142" s="318"/>
    </row>
    <row r="143" customFormat="false" ht="12.75" hidden="false" customHeight="true" outlineLevel="0" collapsed="false">
      <c r="A143" s="453" t="s">
        <v>304</v>
      </c>
      <c r="B143" s="451"/>
      <c r="C143" s="451"/>
      <c r="D143" s="451"/>
      <c r="E143" s="101" t="s">
        <v>205</v>
      </c>
      <c r="F143" s="454"/>
      <c r="G143" s="444" t="s">
        <v>305</v>
      </c>
      <c r="H143" s="101" t="n">
        <v>0.6</v>
      </c>
      <c r="I143" s="101" t="s">
        <v>306</v>
      </c>
      <c r="J143" s="444" t="s">
        <v>205</v>
      </c>
      <c r="K143" s="455" t="n">
        <f aca="false">IF(F143&gt;0,F143*H143,0)</f>
        <v>0</v>
      </c>
      <c r="L143" s="456"/>
      <c r="M143" s="318"/>
    </row>
    <row r="144" customFormat="false" ht="6" hidden="false" customHeight="true" outlineLevel="0" collapsed="false">
      <c r="A144" s="443"/>
      <c r="B144" s="101"/>
      <c r="C144" s="101"/>
      <c r="D144" s="101"/>
      <c r="E144" s="101"/>
      <c r="F144" s="101"/>
      <c r="G144" s="101"/>
      <c r="H144" s="101"/>
      <c r="I144" s="101"/>
      <c r="J144" s="444"/>
      <c r="K144" s="101"/>
      <c r="L144" s="450"/>
      <c r="M144" s="318"/>
    </row>
    <row r="145" customFormat="false" ht="14.65" hidden="false" customHeight="true" outlineLevel="0" collapsed="false">
      <c r="A145" s="443"/>
      <c r="B145" s="101"/>
      <c r="C145" s="101"/>
      <c r="D145" s="101"/>
      <c r="E145" s="101"/>
      <c r="F145" s="101"/>
      <c r="G145" s="101"/>
      <c r="H145" s="101"/>
      <c r="I145" s="101"/>
      <c r="J145" s="444"/>
      <c r="K145" s="101"/>
      <c r="L145" s="450"/>
      <c r="M145" s="318"/>
    </row>
    <row r="146" customFormat="false" ht="12.75" hidden="false" customHeight="true" outlineLevel="0" collapsed="false">
      <c r="A146" s="443"/>
      <c r="B146" s="157"/>
      <c r="C146" s="101"/>
      <c r="D146" s="101"/>
      <c r="E146" s="101"/>
      <c r="F146" s="101"/>
      <c r="G146" s="101"/>
      <c r="H146" s="101"/>
      <c r="I146" s="101"/>
      <c r="J146" s="444"/>
      <c r="K146" s="457"/>
      <c r="L146" s="448"/>
      <c r="M146" s="318"/>
    </row>
    <row r="147" customFormat="false" ht="8.25" hidden="false" customHeight="true" outlineLevel="0" collapsed="false">
      <c r="A147" s="443"/>
      <c r="B147" s="157"/>
      <c r="C147" s="101"/>
      <c r="D147" s="101"/>
      <c r="E147" s="101"/>
      <c r="F147" s="101"/>
      <c r="G147" s="101"/>
      <c r="H147" s="101"/>
      <c r="I147" s="101"/>
      <c r="J147" s="444"/>
      <c r="K147" s="101"/>
      <c r="L147" s="450"/>
      <c r="M147" s="318"/>
    </row>
    <row r="148" customFormat="false" ht="12.75" hidden="false" customHeight="true" outlineLevel="0" collapsed="false">
      <c r="A148" s="443" t="s">
        <v>307</v>
      </c>
      <c r="B148" s="101" t="s">
        <v>308</v>
      </c>
      <c r="C148" s="101"/>
      <c r="D148" s="101"/>
      <c r="E148" s="101"/>
      <c r="F148" s="101"/>
      <c r="G148" s="101"/>
      <c r="H148" s="101"/>
      <c r="I148" s="101"/>
      <c r="J148" s="444" t="s">
        <v>205</v>
      </c>
      <c r="K148" s="458" t="n">
        <f aca="false">K140+K143+K146</f>
        <v>0</v>
      </c>
      <c r="L148" s="459"/>
      <c r="M148" s="318"/>
    </row>
    <row r="149" customFormat="false" ht="8.25" hidden="false" customHeight="true" outlineLevel="0" collapsed="false">
      <c r="A149" s="443"/>
      <c r="B149" s="101"/>
      <c r="C149" s="101"/>
      <c r="D149" s="101"/>
      <c r="E149" s="101"/>
      <c r="F149" s="101"/>
      <c r="G149" s="101"/>
      <c r="H149" s="101"/>
      <c r="I149" s="101"/>
      <c r="J149" s="444"/>
      <c r="K149" s="101"/>
      <c r="L149" s="450"/>
      <c r="M149" s="318"/>
    </row>
    <row r="150" customFormat="false" ht="14.65" hidden="false" customHeight="true" outlineLevel="0" collapsed="false">
      <c r="A150" s="443" t="s">
        <v>309</v>
      </c>
      <c r="B150" s="101" t="s">
        <v>310</v>
      </c>
      <c r="C150" s="101"/>
      <c r="D150" s="101"/>
      <c r="E150" s="101"/>
      <c r="F150" s="101"/>
      <c r="G150" s="101"/>
      <c r="H150" s="101"/>
      <c r="I150" s="101"/>
      <c r="J150" s="444"/>
      <c r="K150" s="101"/>
      <c r="L150" s="450"/>
      <c r="M150" s="318"/>
    </row>
    <row r="151" customFormat="false" ht="12.75" hidden="false" customHeight="true" outlineLevel="0" collapsed="false">
      <c r="A151" s="443"/>
      <c r="B151" s="157" t="s">
        <v>311</v>
      </c>
      <c r="C151" s="101"/>
      <c r="D151" s="101"/>
      <c r="E151" s="101"/>
      <c r="F151" s="101"/>
      <c r="G151" s="101"/>
      <c r="H151" s="101"/>
      <c r="I151" s="101"/>
      <c r="J151" s="444" t="s">
        <v>206</v>
      </c>
      <c r="K151" s="455" t="n">
        <f aca="false">'costo-mq'!$O$82</f>
        <v>312.7311</v>
      </c>
      <c r="L151" s="456"/>
    </row>
    <row r="152" customFormat="false" ht="6" hidden="false" customHeight="true" outlineLevel="0" collapsed="false">
      <c r="A152" s="443"/>
      <c r="B152" s="101"/>
      <c r="C152" s="101"/>
      <c r="D152" s="101"/>
      <c r="E152" s="101"/>
      <c r="F152" s="101"/>
      <c r="G152" s="101"/>
      <c r="H152" s="101"/>
      <c r="I152" s="101"/>
      <c r="J152" s="444"/>
      <c r="K152" s="154"/>
      <c r="L152" s="460"/>
      <c r="M152" s="318"/>
    </row>
    <row r="153" customFormat="false" ht="18" hidden="false" customHeight="true" outlineLevel="0" collapsed="false">
      <c r="A153" s="443"/>
      <c r="B153" s="101"/>
      <c r="C153" s="101"/>
      <c r="D153" s="101"/>
      <c r="E153" s="101"/>
      <c r="F153" s="101"/>
      <c r="G153" s="101"/>
      <c r="H153" s="461"/>
      <c r="I153" s="101"/>
      <c r="J153" s="444"/>
      <c r="K153" s="154"/>
      <c r="L153" s="460"/>
      <c r="M153" s="462"/>
    </row>
    <row r="154" customFormat="false" ht="6" hidden="false" customHeight="true" outlineLevel="0" collapsed="false">
      <c r="A154" s="443"/>
      <c r="B154" s="101"/>
      <c r="C154" s="101"/>
      <c r="D154" s="101"/>
      <c r="E154" s="101"/>
      <c r="F154" s="101"/>
      <c r="G154" s="101"/>
      <c r="H154" s="101"/>
      <c r="I154" s="101"/>
      <c r="J154" s="444"/>
      <c r="K154" s="154"/>
      <c r="L154" s="463"/>
      <c r="M154" s="318"/>
    </row>
    <row r="155" customFormat="false" ht="12.75" hidden="false" customHeight="true" outlineLevel="0" collapsed="false">
      <c r="A155" s="443" t="s">
        <v>312</v>
      </c>
      <c r="B155" s="464" t="s">
        <v>313</v>
      </c>
      <c r="C155" s="465"/>
      <c r="D155" s="465"/>
      <c r="E155" s="465"/>
      <c r="F155" s="465"/>
      <c r="G155" s="465"/>
      <c r="H155" s="465"/>
      <c r="I155" s="465"/>
      <c r="J155" s="466" t="s">
        <v>169</v>
      </c>
      <c r="K155" s="458" t="n">
        <f aca="false">K148*K151</f>
        <v>0</v>
      </c>
      <c r="L155" s="459"/>
      <c r="M155" s="318"/>
    </row>
    <row r="156" customFormat="false" ht="14.65" hidden="false" customHeight="true" outlineLevel="0" collapsed="false">
      <c r="A156" s="167"/>
      <c r="B156" s="142"/>
      <c r="C156" s="142"/>
      <c r="D156" s="142"/>
      <c r="E156" s="142"/>
      <c r="F156" s="142"/>
      <c r="G156" s="142"/>
      <c r="H156" s="142"/>
      <c r="I156" s="142"/>
      <c r="J156" s="142"/>
      <c r="K156" s="142"/>
      <c r="L156" s="379"/>
      <c r="M156" s="318"/>
    </row>
    <row r="157" customFormat="false" ht="5.1" hidden="false" customHeight="true" outlineLevel="0" collapsed="false">
      <c r="A157" s="167"/>
      <c r="B157" s="142"/>
      <c r="C157" s="142"/>
      <c r="D157" s="142"/>
      <c r="E157" s="142"/>
      <c r="F157" s="142"/>
      <c r="G157" s="142"/>
      <c r="H157" s="142"/>
      <c r="I157" s="142"/>
      <c r="J157" s="142"/>
      <c r="K157" s="142"/>
      <c r="L157" s="379"/>
      <c r="M157" s="318"/>
    </row>
    <row r="158" customFormat="false" ht="14.65" hidden="false" customHeight="true" outlineLevel="0" collapsed="false">
      <c r="A158" s="467" t="s">
        <v>314</v>
      </c>
      <c r="B158" s="467"/>
      <c r="C158" s="467"/>
      <c r="D158" s="467"/>
      <c r="E158" s="467"/>
      <c r="F158" s="467"/>
      <c r="G158" s="467"/>
      <c r="H158" s="467"/>
      <c r="I158" s="467"/>
      <c r="J158" s="467"/>
      <c r="K158" s="467"/>
      <c r="L158" s="467"/>
      <c r="M158" s="318"/>
    </row>
    <row r="159" customFormat="false" ht="5.1" hidden="false" customHeight="true" outlineLevel="0" collapsed="false">
      <c r="A159" s="167"/>
      <c r="B159" s="142"/>
      <c r="C159" s="142"/>
      <c r="D159" s="142"/>
      <c r="E159" s="142"/>
      <c r="F159" s="142"/>
      <c r="G159" s="142"/>
      <c r="H159" s="142"/>
      <c r="I159" s="142"/>
      <c r="J159" s="142"/>
      <c r="K159" s="142"/>
      <c r="L159" s="379"/>
      <c r="M159" s="318"/>
    </row>
    <row r="160" customFormat="false" ht="16.5" hidden="false" customHeight="true" outlineLevel="0" collapsed="false">
      <c r="A160" s="167"/>
      <c r="B160" s="352" t="s">
        <v>225</v>
      </c>
      <c r="C160" s="142"/>
      <c r="D160" s="383" t="s">
        <v>315</v>
      </c>
      <c r="E160" s="383"/>
      <c r="F160" s="388" t="s">
        <v>316</v>
      </c>
      <c r="G160" s="142"/>
      <c r="H160" s="142"/>
      <c r="I160" s="383" t="s">
        <v>317</v>
      </c>
      <c r="J160" s="383"/>
      <c r="K160" s="383"/>
      <c r="L160" s="379"/>
      <c r="M160" s="318"/>
    </row>
    <row r="161" customFormat="false" ht="11.25" hidden="false" customHeight="true" outlineLevel="0" collapsed="false">
      <c r="A161" s="167"/>
      <c r="B161" s="142"/>
      <c r="C161" s="142"/>
      <c r="D161" s="383"/>
      <c r="E161" s="383"/>
      <c r="F161" s="355"/>
      <c r="G161" s="142"/>
      <c r="H161" s="142"/>
      <c r="I161" s="383"/>
      <c r="J161" s="383"/>
      <c r="K161" s="383"/>
      <c r="L161" s="379"/>
      <c r="M161" s="318"/>
      <c r="N161" s="468" t="n">
        <f aca="false">SUM(E165:E175)</f>
        <v>0.07</v>
      </c>
      <c r="P161" s="468" t="n">
        <f aca="false">SUM(J163:J175)</f>
        <v>0.07</v>
      </c>
    </row>
    <row r="162" customFormat="false" ht="6" hidden="false" customHeight="true" outlineLevel="0" collapsed="false">
      <c r="A162" s="167"/>
      <c r="B162" s="142"/>
      <c r="C162" s="142"/>
      <c r="D162" s="383"/>
      <c r="E162" s="383"/>
      <c r="F162" s="355"/>
      <c r="G162" s="142"/>
      <c r="H162" s="142"/>
      <c r="I162" s="383"/>
      <c r="J162" s="383"/>
      <c r="K162" s="383"/>
      <c r="L162" s="379"/>
      <c r="M162" s="318"/>
    </row>
    <row r="163" customFormat="false" ht="13.5" hidden="false" customHeight="true" outlineLevel="0" collapsed="false">
      <c r="A163" s="167"/>
      <c r="B163" s="142"/>
      <c r="C163" s="142"/>
      <c r="D163" s="383"/>
      <c r="E163" s="383"/>
      <c r="F163" s="205" t="s">
        <v>318</v>
      </c>
      <c r="G163" s="403" t="str">
        <f aca="false">IF(K138&gt;60,"X","-")</f>
        <v>-</v>
      </c>
      <c r="H163" s="142"/>
      <c r="I163" s="142"/>
      <c r="J163" s="469"/>
      <c r="K163" s="383"/>
      <c r="L163" s="379"/>
      <c r="M163" s="318"/>
    </row>
    <row r="164" customFormat="false" ht="6" hidden="false" customHeight="true" outlineLevel="0" collapsed="false">
      <c r="A164" s="167"/>
      <c r="B164" s="142"/>
      <c r="C164" s="142"/>
      <c r="D164" s="142"/>
      <c r="E164" s="142"/>
      <c r="K164" s="142"/>
      <c r="L164" s="379"/>
      <c r="M164" s="318"/>
    </row>
    <row r="165" customFormat="false" ht="14.65" hidden="false" customHeight="true" outlineLevel="0" collapsed="false">
      <c r="A165" s="167"/>
      <c r="B165" s="295" t="s">
        <v>319</v>
      </c>
      <c r="C165" s="403" t="str">
        <f aca="false">IF(K136&gt;160,"X","-")</f>
        <v>-</v>
      </c>
      <c r="D165" s="142"/>
      <c r="E165" s="470" t="str">
        <f aca="false">IF($C$49="X"," ",IF(C165="X",N165,IF(C165="-"," ",0)))</f>
        <v> </v>
      </c>
      <c r="F165" s="205" t="s">
        <v>320</v>
      </c>
      <c r="G165" s="403" t="str">
        <f aca="false">IF(K138&gt;60,"-",IF(K138&gt;55,"X","-"))</f>
        <v>-</v>
      </c>
      <c r="H165" s="142"/>
      <c r="I165" s="142"/>
      <c r="J165" s="469" t="str">
        <f aca="false">O165</f>
        <v> </v>
      </c>
      <c r="L165" s="379"/>
      <c r="M165" s="471" t="n">
        <f aca="false">IF(E165=" ",0,IF(G165="x","9%",IF(G163="x","10%",0)))</f>
        <v>0</v>
      </c>
      <c r="N165" s="472" t="n">
        <v>0.09</v>
      </c>
      <c r="O165" s="473" t="str">
        <f aca="false">IF(E165&lt;&gt;" ",IF(K138&gt;60,P165,N165)," ")</f>
        <v> </v>
      </c>
      <c r="P165" s="472" t="n">
        <v>0.1</v>
      </c>
    </row>
    <row r="166" customFormat="false" ht="6" hidden="false" customHeight="true" outlineLevel="0" collapsed="false">
      <c r="A166" s="167"/>
      <c r="B166" s="295"/>
      <c r="C166" s="142"/>
      <c r="D166" s="142"/>
      <c r="E166" s="105"/>
      <c r="F166" s="205"/>
      <c r="G166" s="142"/>
      <c r="H166" s="142"/>
      <c r="I166" s="142"/>
      <c r="J166" s="156"/>
      <c r="L166" s="379"/>
      <c r="M166" s="474"/>
    </row>
    <row r="167" customFormat="false" ht="12.75" hidden="false" customHeight="true" outlineLevel="0" collapsed="false">
      <c r="A167" s="167"/>
      <c r="B167" s="295" t="s">
        <v>321</v>
      </c>
      <c r="C167" s="403" t="str">
        <f aca="false">IF(K136&gt;160,"-",IF(K136&lt;130,"-",IF(K136&lt;160,"X",0)))</f>
        <v>-</v>
      </c>
      <c r="D167" s="142"/>
      <c r="E167" s="470" t="str">
        <f aca="false">IF($C$49="X"," ",IF(C167="X",N167,IF(C167="-"," ",0)))</f>
        <v> </v>
      </c>
      <c r="F167" s="205" t="s">
        <v>322</v>
      </c>
      <c r="G167" s="403" t="str">
        <f aca="false">IF(K138&gt;55,"-",IF(K138&gt;50,"X","-"))</f>
        <v>-</v>
      </c>
      <c r="H167" s="142"/>
      <c r="I167" s="142"/>
      <c r="J167" s="469" t="str">
        <f aca="false">O167</f>
        <v> </v>
      </c>
      <c r="K167" s="475"/>
      <c r="L167" s="379"/>
      <c r="M167" s="471" t="n">
        <f aca="false">IF(E167=" ",0,IF(G165="x","9%",IF(E165="-","8%",0)))</f>
        <v>0</v>
      </c>
      <c r="N167" s="472" t="n">
        <v>0.08</v>
      </c>
      <c r="O167" s="425" t="str">
        <f aca="false">IF(E167&lt;&gt;" ",IF(K138&gt;55,P167,N167)," ")</f>
        <v> </v>
      </c>
      <c r="P167" s="472" t="n">
        <v>0.09</v>
      </c>
    </row>
    <row r="168" customFormat="false" ht="5.1" hidden="false" customHeight="true" outlineLevel="0" collapsed="false">
      <c r="A168" s="167"/>
      <c r="B168" s="295"/>
      <c r="C168" s="142"/>
      <c r="D168" s="142"/>
      <c r="E168" s="105"/>
      <c r="F168" s="205"/>
      <c r="G168" s="142"/>
      <c r="H168" s="142"/>
      <c r="I168" s="142"/>
      <c r="J168" s="156"/>
      <c r="K168" s="142"/>
      <c r="L168" s="379"/>
      <c r="M168" s="471"/>
    </row>
    <row r="169" customFormat="false" ht="14.65" hidden="false" customHeight="true" outlineLevel="0" collapsed="false">
      <c r="A169" s="167"/>
      <c r="B169" s="295" t="s">
        <v>323</v>
      </c>
      <c r="C169" s="403" t="str">
        <f aca="false">IF(K136&gt;130,"-",IF(K136&lt;110,"-",IF(K136&lt;130,"X",0)))</f>
        <v>-</v>
      </c>
      <c r="D169" s="142"/>
      <c r="E169" s="470" t="str">
        <f aca="false">IF($C$49="X"," ",IF(C169="X",N169,IF(C169="-"," ",0)))</f>
        <v> </v>
      </c>
      <c r="F169" s="205" t="s">
        <v>324</v>
      </c>
      <c r="G169" s="403" t="str">
        <f aca="false">IF(K138&gt;50,"-",IF(K138&gt;45,"X","-"))</f>
        <v>-</v>
      </c>
      <c r="H169" s="142"/>
      <c r="I169" s="142"/>
      <c r="J169" s="469" t="str">
        <f aca="false">O169</f>
        <v> </v>
      </c>
      <c r="K169" s="475"/>
      <c r="L169" s="379"/>
      <c r="M169" s="471" t="n">
        <f aca="false">IF(E169=" ",0,IF(G167="x","9%",IF(G165="x","9%",IF(E169="8%","8%",0))))</f>
        <v>0</v>
      </c>
      <c r="N169" s="472" t="n">
        <v>0.08</v>
      </c>
      <c r="O169" s="425" t="str">
        <f aca="false">IF(E169&lt;&gt;" ",IF(K138&gt;50,P169,N169)," ")</f>
        <v> </v>
      </c>
      <c r="P169" s="472" t="n">
        <v>0.09</v>
      </c>
    </row>
    <row r="170" customFormat="false" ht="5.1" hidden="false" customHeight="true" outlineLevel="0" collapsed="false">
      <c r="A170" s="167"/>
      <c r="B170" s="295"/>
      <c r="C170" s="142"/>
      <c r="D170" s="142"/>
      <c r="E170" s="105"/>
      <c r="F170" s="205"/>
      <c r="G170" s="142"/>
      <c r="H170" s="142"/>
      <c r="I170" s="142"/>
      <c r="J170" s="156"/>
      <c r="K170" s="142"/>
      <c r="L170" s="379"/>
      <c r="M170" s="471"/>
    </row>
    <row r="171" customFormat="false" ht="14.65" hidden="false" customHeight="true" outlineLevel="0" collapsed="false">
      <c r="A171" s="167"/>
      <c r="B171" s="295" t="s">
        <v>325</v>
      </c>
      <c r="C171" s="403" t="str">
        <f aca="false">IF(K136&gt;110,"-",IF(K136&lt;95,"-",IF(K136&lt;110,"X",0)))</f>
        <v>-</v>
      </c>
      <c r="D171" s="142"/>
      <c r="E171" s="470" t="str">
        <f aca="false">IF($C$49="X"," ",IF(C171="X",N171,IF(C171="-"," ",0)))</f>
        <v> </v>
      </c>
      <c r="F171" s="205" t="s">
        <v>326</v>
      </c>
      <c r="G171" s="403" t="str">
        <f aca="false">IF(K138&gt;45,"-",IF(K138&gt;40,"X","-"))</f>
        <v>-</v>
      </c>
      <c r="H171" s="142"/>
      <c r="I171" s="142"/>
      <c r="J171" s="469" t="str">
        <f aca="false">O171</f>
        <v> </v>
      </c>
      <c r="K171" s="475"/>
      <c r="L171" s="379"/>
      <c r="M171" s="471" t="n">
        <f aca="false">IF(E171=" ",0,IF(G169="x","8%",IF(G167="x","8%",IF(G165="x","8%",IF(E171="7%","7%",0)))))</f>
        <v>0</v>
      </c>
      <c r="N171" s="472" t="n">
        <v>0.07</v>
      </c>
      <c r="O171" s="425" t="str">
        <f aca="false">IF(E171&lt;&gt;" ",IF(K138&gt;45,P171,N171)," ")</f>
        <v> </v>
      </c>
      <c r="P171" s="472" t="n">
        <v>0.08</v>
      </c>
    </row>
    <row r="172" customFormat="false" ht="5.1" hidden="false" customHeight="true" outlineLevel="0" collapsed="false">
      <c r="A172" s="167"/>
      <c r="B172" s="295"/>
      <c r="C172" s="142"/>
      <c r="D172" s="142"/>
      <c r="E172" s="105"/>
      <c r="F172" s="205"/>
      <c r="G172" s="142"/>
      <c r="H172" s="142"/>
      <c r="I172" s="142"/>
      <c r="J172" s="156"/>
      <c r="K172" s="142"/>
      <c r="L172" s="379"/>
      <c r="M172" s="474"/>
    </row>
    <row r="173" customFormat="false" ht="14.65" hidden="false" customHeight="true" outlineLevel="0" collapsed="false">
      <c r="A173" s="167"/>
      <c r="B173" s="295" t="s">
        <v>327</v>
      </c>
      <c r="C173" s="403" t="str">
        <f aca="false">IF(K136&lt;95,"X","-")</f>
        <v>X</v>
      </c>
      <c r="D173" s="142"/>
      <c r="E173" s="469" t="n">
        <f aca="false">IF($C$49="X"," ",IF(C173="X",N173,IF(C173="-"," ",0)))</f>
        <v>0.07</v>
      </c>
      <c r="F173" s="205" t="s">
        <v>328</v>
      </c>
      <c r="G173" s="403" t="str">
        <f aca="false">IF(K138&lt;=40,"X","-")</f>
        <v>X</v>
      </c>
      <c r="H173" s="142"/>
      <c r="I173" s="142"/>
      <c r="J173" s="469" t="n">
        <f aca="false">O173</f>
        <v>0.07</v>
      </c>
      <c r="K173" s="475"/>
      <c r="L173" s="379"/>
      <c r="M173" s="471" t="n">
        <f aca="false">IF(E173=" ",0,IF(G171="x","8%",IF(G169="x","8%",IF(G167="x","8%",IF(G165="x","8%",IF(E173="7%","7%",0))))))</f>
        <v>0</v>
      </c>
      <c r="N173" s="472" t="n">
        <v>0.07</v>
      </c>
      <c r="O173" s="472" t="n">
        <f aca="false">IF(E173&lt;&gt;" ",IF(K138&gt;40,P173,N173)," ")</f>
        <v>0.07</v>
      </c>
      <c r="P173" s="472" t="n">
        <v>0.08</v>
      </c>
    </row>
    <row r="174" customFormat="false" ht="5.1" hidden="false" customHeight="true" outlineLevel="0" collapsed="false">
      <c r="A174" s="167"/>
      <c r="B174" s="142"/>
      <c r="C174" s="142"/>
      <c r="D174" s="142"/>
      <c r="E174" s="105"/>
      <c r="K174" s="142"/>
      <c r="L174" s="379"/>
      <c r="M174" s="474"/>
    </row>
    <row r="175" customFormat="false" ht="14.65" hidden="false" customHeight="true" outlineLevel="0" collapsed="false">
      <c r="A175" s="167"/>
      <c r="B175" s="295" t="s">
        <v>329</v>
      </c>
      <c r="C175" s="476"/>
      <c r="D175" s="142"/>
      <c r="E175" s="475" t="str">
        <f aca="false">IF(C175="X",N175," ")</f>
        <v> </v>
      </c>
      <c r="J175" s="477" t="str">
        <f aca="false">E175</f>
        <v> </v>
      </c>
      <c r="K175" s="475" t="s">
        <v>330</v>
      </c>
      <c r="L175" s="379"/>
      <c r="M175" s="471" t="n">
        <f aca="false">IF(J175=" ",0,IF(J175="10%",0.1,0))</f>
        <v>0</v>
      </c>
      <c r="N175" s="472" t="n">
        <v>0.1</v>
      </c>
    </row>
    <row r="176" customFormat="false" ht="9" hidden="false" customHeight="true" outlineLevel="0" collapsed="false">
      <c r="A176" s="167"/>
      <c r="B176" s="142"/>
      <c r="C176" s="486"/>
      <c r="D176" s="142"/>
      <c r="E176" s="142"/>
      <c r="F176" s="142"/>
      <c r="G176" s="142"/>
      <c r="H176" s="142"/>
      <c r="I176" s="142"/>
      <c r="J176" s="142"/>
      <c r="K176" s="142"/>
      <c r="L176" s="379"/>
      <c r="M176" s="471" t="n">
        <f aca="false">M165+M167+M169+M171+M173+M175</f>
        <v>0</v>
      </c>
    </row>
    <row r="177" customFormat="false" ht="6" hidden="false" customHeight="true" outlineLevel="0" collapsed="false">
      <c r="A177" s="167"/>
      <c r="B177" s="142"/>
      <c r="C177" s="142"/>
      <c r="D177" s="142"/>
      <c r="E177" s="142"/>
      <c r="F177" s="142"/>
      <c r="G177" s="142"/>
      <c r="H177" s="142"/>
      <c r="I177" s="142"/>
      <c r="J177" s="142"/>
      <c r="K177" s="142"/>
      <c r="L177" s="379"/>
      <c r="M177" s="318"/>
    </row>
    <row r="178" customFormat="false" ht="12.75" hidden="false" customHeight="true" outlineLevel="0" collapsed="false">
      <c r="A178" s="167"/>
      <c r="B178" s="142" t="s">
        <v>331</v>
      </c>
      <c r="C178" s="142"/>
      <c r="D178" s="142"/>
      <c r="E178" s="142"/>
      <c r="F178" s="142"/>
      <c r="G178" s="476"/>
      <c r="H178" s="142"/>
      <c r="I178" s="142"/>
      <c r="J178" s="142"/>
      <c r="K178" s="142"/>
      <c r="L178" s="379"/>
      <c r="M178" s="318"/>
      <c r="N178" s="425" t="n">
        <f aca="false">IF(G178="X",1,0)</f>
        <v>0</v>
      </c>
    </row>
    <row r="179" customFormat="false" ht="6" hidden="false" customHeight="true" outlineLevel="0" collapsed="false">
      <c r="A179" s="167"/>
      <c r="B179" s="142"/>
      <c r="C179" s="142"/>
      <c r="D179" s="142"/>
      <c r="E179" s="142"/>
      <c r="F179" s="142"/>
      <c r="G179" s="295"/>
      <c r="H179" s="142"/>
      <c r="I179" s="142"/>
      <c r="J179" s="142"/>
      <c r="K179" s="142"/>
      <c r="L179" s="379"/>
      <c r="M179" s="318"/>
    </row>
    <row r="180" customFormat="false" ht="14.65" hidden="false" customHeight="true" outlineLevel="0" collapsed="false">
      <c r="A180" s="167"/>
      <c r="B180" s="142" t="s">
        <v>332</v>
      </c>
      <c r="C180" s="142"/>
      <c r="D180" s="142"/>
      <c r="E180" s="142"/>
      <c r="F180" s="142"/>
      <c r="G180" s="476" t="s">
        <v>238</v>
      </c>
      <c r="H180" s="142"/>
      <c r="I180" s="142"/>
      <c r="J180" s="142"/>
      <c r="K180" s="142"/>
      <c r="L180" s="379"/>
      <c r="M180" s="318"/>
      <c r="N180" s="425" t="n">
        <f aca="false">IF(G180="X",1,0)</f>
        <v>0</v>
      </c>
    </row>
    <row r="181" customFormat="false" ht="5.1" hidden="false" customHeight="true" outlineLevel="0" collapsed="false">
      <c r="A181" s="167"/>
      <c r="B181" s="142"/>
      <c r="C181" s="142"/>
      <c r="D181" s="142"/>
      <c r="E181" s="142"/>
      <c r="F181" s="142"/>
      <c r="G181" s="295"/>
      <c r="H181" s="142"/>
      <c r="I181" s="142"/>
      <c r="J181" s="142"/>
      <c r="K181" s="142"/>
      <c r="L181" s="379"/>
      <c r="M181" s="318"/>
    </row>
    <row r="182" customFormat="false" ht="12.75" hidden="false" customHeight="true" outlineLevel="0" collapsed="false">
      <c r="A182" s="167"/>
      <c r="B182" s="142" t="s">
        <v>333</v>
      </c>
      <c r="C182" s="142"/>
      <c r="D182" s="142"/>
      <c r="E182" s="142"/>
      <c r="F182" s="142"/>
      <c r="G182" s="476"/>
      <c r="H182" s="142"/>
      <c r="I182" s="142"/>
      <c r="J182" s="142"/>
      <c r="K182" s="142"/>
      <c r="L182" s="379"/>
      <c r="M182" s="318"/>
      <c r="N182" s="425" t="n">
        <f aca="false">IF(G182="X",1,0)</f>
        <v>0</v>
      </c>
    </row>
    <row r="183" customFormat="false" ht="4.5" hidden="false" customHeight="true" outlineLevel="0" collapsed="false">
      <c r="A183" s="167"/>
      <c r="B183" s="142"/>
      <c r="C183" s="142"/>
      <c r="D183" s="142"/>
      <c r="E183" s="142"/>
      <c r="F183" s="142"/>
      <c r="G183" s="142"/>
      <c r="H183" s="142"/>
      <c r="I183" s="142"/>
      <c r="J183" s="142"/>
      <c r="K183" s="142"/>
      <c r="L183" s="379"/>
      <c r="M183" s="318"/>
    </row>
    <row r="184" customFormat="false" ht="15" hidden="false" customHeight="true" outlineLevel="0" collapsed="false">
      <c r="A184" s="167"/>
      <c r="B184" s="142" t="s">
        <v>334</v>
      </c>
      <c r="C184" s="142"/>
      <c r="D184" s="142"/>
      <c r="E184" s="142"/>
      <c r="F184" s="142"/>
      <c r="G184" s="142"/>
      <c r="H184" s="142"/>
      <c r="I184" s="142"/>
      <c r="J184" s="142"/>
      <c r="K184" s="478" t="n">
        <f aca="false">IF(N184&gt;0,O184-0.01,O184)</f>
        <v>0.07</v>
      </c>
      <c r="L184" s="478"/>
      <c r="M184" s="318"/>
      <c r="N184" s="425" t="n">
        <f aca="false">N178+N180+N182</f>
        <v>0</v>
      </c>
      <c r="O184" s="473" t="n">
        <f aca="false">IF(J175&lt;&gt;" ",J175,P161)</f>
        <v>0.07</v>
      </c>
    </row>
    <row r="185" customFormat="false" ht="4.5" hidden="false" customHeight="true" outlineLevel="0" collapsed="false">
      <c r="A185" s="167"/>
      <c r="B185" s="142"/>
      <c r="C185" s="142"/>
      <c r="D185" s="142"/>
      <c r="E185" s="142"/>
      <c r="F185" s="142"/>
      <c r="G185" s="142"/>
      <c r="H185" s="142"/>
      <c r="I185" s="142"/>
      <c r="J185" s="142"/>
      <c r="K185" s="142"/>
      <c r="L185" s="379"/>
      <c r="M185" s="318"/>
    </row>
    <row r="186" customFormat="false" ht="4.5" hidden="false" customHeight="true" outlineLevel="0" collapsed="false">
      <c r="A186" s="167"/>
      <c r="B186" s="142"/>
      <c r="C186" s="142"/>
      <c r="D186" s="142"/>
      <c r="E186" s="142"/>
      <c r="F186" s="142"/>
      <c r="G186" s="142"/>
      <c r="H186" s="142"/>
      <c r="I186" s="142"/>
      <c r="J186" s="142"/>
      <c r="K186" s="142"/>
      <c r="L186" s="379"/>
      <c r="M186" s="318"/>
    </row>
    <row r="187" customFormat="false" ht="12.75" hidden="false" customHeight="true" outlineLevel="0" collapsed="false">
      <c r="A187" s="467" t="s">
        <v>335</v>
      </c>
      <c r="B187" s="467"/>
      <c r="C187" s="467"/>
      <c r="D187" s="467"/>
      <c r="E187" s="467"/>
      <c r="F187" s="467"/>
      <c r="G187" s="467"/>
      <c r="H187" s="467"/>
      <c r="I187" s="467"/>
      <c r="J187" s="467"/>
      <c r="K187" s="467"/>
      <c r="L187" s="467"/>
      <c r="M187" s="318"/>
    </row>
    <row r="188" customFormat="false" ht="6" hidden="false" customHeight="true" outlineLevel="0" collapsed="false">
      <c r="A188" s="167"/>
      <c r="B188" s="142"/>
      <c r="C188" s="142"/>
      <c r="D188" s="142"/>
      <c r="E188" s="142"/>
      <c r="F188" s="142"/>
      <c r="G188" s="142"/>
      <c r="H188" s="142"/>
      <c r="I188" s="142"/>
      <c r="J188" s="142"/>
      <c r="K188" s="142"/>
      <c r="L188" s="379"/>
      <c r="M188" s="318"/>
    </row>
    <row r="189" customFormat="false" ht="18" hidden="false" customHeight="true" outlineLevel="0" collapsed="false">
      <c r="A189" s="167"/>
      <c r="B189" s="142" t="s">
        <v>336</v>
      </c>
      <c r="C189" s="142"/>
      <c r="D189" s="142"/>
      <c r="E189" s="142"/>
      <c r="F189" s="142"/>
      <c r="G189" s="142"/>
      <c r="H189" s="142" t="s">
        <v>169</v>
      </c>
      <c r="I189" s="479" t="n">
        <f aca="false">K155</f>
        <v>0</v>
      </c>
      <c r="J189" s="479"/>
      <c r="K189" s="479"/>
      <c r="L189" s="479"/>
      <c r="M189" s="318"/>
    </row>
    <row r="190" customFormat="false" ht="5.1" hidden="false" customHeight="true" outlineLevel="0" collapsed="false">
      <c r="A190" s="167"/>
      <c r="B190" s="142"/>
      <c r="C190" s="142"/>
      <c r="D190" s="142"/>
      <c r="E190" s="142"/>
      <c r="F190" s="142"/>
      <c r="G190" s="142"/>
      <c r="H190" s="142"/>
      <c r="I190" s="142"/>
      <c r="J190" s="142"/>
      <c r="K190" s="142"/>
      <c r="L190" s="379"/>
      <c r="M190" s="318"/>
    </row>
    <row r="191" customFormat="false" ht="18" hidden="false" customHeight="true" outlineLevel="0" collapsed="false">
      <c r="A191" s="167"/>
      <c r="B191" s="142" t="s">
        <v>337</v>
      </c>
      <c r="C191" s="142"/>
      <c r="D191" s="142"/>
      <c r="E191" s="142"/>
      <c r="F191" s="142"/>
      <c r="G191" s="142"/>
      <c r="H191" s="142" t="s">
        <v>338</v>
      </c>
      <c r="I191" s="480" t="n">
        <f aca="false">K184</f>
        <v>0.07</v>
      </c>
      <c r="J191" s="480"/>
      <c r="K191" s="480"/>
      <c r="L191" s="480"/>
      <c r="M191" s="318"/>
    </row>
    <row r="192" customFormat="false" ht="5.1" hidden="false" customHeight="true" outlineLevel="0" collapsed="false">
      <c r="A192" s="167"/>
      <c r="B192" s="142"/>
      <c r="C192" s="142"/>
      <c r="D192" s="142"/>
      <c r="E192" s="142"/>
      <c r="F192" s="142"/>
      <c r="G192" s="142"/>
      <c r="H192" s="142"/>
      <c r="I192" s="142"/>
      <c r="J192" s="142"/>
      <c r="K192" s="142"/>
      <c r="L192" s="379"/>
      <c r="M192" s="318"/>
    </row>
    <row r="193" customFormat="false" ht="18" hidden="false" customHeight="true" outlineLevel="0" collapsed="false">
      <c r="A193" s="481"/>
      <c r="B193" s="197" t="s">
        <v>339</v>
      </c>
      <c r="C193" s="197"/>
      <c r="D193" s="197"/>
      <c r="E193" s="197"/>
      <c r="F193" s="197"/>
      <c r="G193" s="197"/>
      <c r="H193" s="197" t="s">
        <v>169</v>
      </c>
      <c r="I193" s="482" t="n">
        <f aca="false">I189*I191</f>
        <v>0</v>
      </c>
      <c r="J193" s="482"/>
      <c r="K193" s="482"/>
      <c r="L193" s="482"/>
      <c r="M193" s="318"/>
    </row>
    <row r="194" s="112" customFormat="true" ht="28.35" hidden="false" customHeight="true" outlineLevel="0" collapsed="false">
      <c r="A194" s="483"/>
      <c r="B194" s="484"/>
      <c r="C194" s="484"/>
      <c r="D194" s="484"/>
      <c r="E194" s="484"/>
      <c r="F194" s="484"/>
      <c r="G194" s="484"/>
      <c r="H194" s="484"/>
      <c r="I194" s="484"/>
      <c r="J194" s="484"/>
      <c r="K194" s="484"/>
      <c r="L194" s="485"/>
      <c r="M194" s="430"/>
      <c r="N194" s="118"/>
      <c r="O194" s="118"/>
      <c r="P194" s="118"/>
      <c r="Q194" s="118"/>
      <c r="R194" s="118"/>
    </row>
    <row r="195" s="112" customFormat="true" ht="18.15" hidden="false" customHeight="true" outlineLevel="0" collapsed="false">
      <c r="A195" s="432" t="s">
        <v>161</v>
      </c>
      <c r="B195" s="433"/>
      <c r="C195" s="433"/>
      <c r="D195" s="433"/>
      <c r="E195" s="433"/>
      <c r="F195" s="434" t="s">
        <v>162</v>
      </c>
      <c r="G195" s="435"/>
      <c r="H195" s="435"/>
      <c r="I195" s="123"/>
      <c r="J195" s="436"/>
      <c r="K195" s="434" t="s">
        <v>297</v>
      </c>
      <c r="L195" s="437"/>
      <c r="M195" s="430"/>
      <c r="N195" s="118"/>
      <c r="O195" s="118"/>
      <c r="P195" s="118"/>
      <c r="Q195" s="118"/>
      <c r="R195" s="118"/>
    </row>
    <row r="196" s="112" customFormat="true" ht="9.75" hidden="false" customHeight="true" outlineLevel="0" collapsed="false">
      <c r="A196" s="438"/>
      <c r="B196" s="439"/>
      <c r="C196" s="440"/>
      <c r="D196" s="440"/>
      <c r="E196" s="123"/>
      <c r="F196" s="440"/>
      <c r="G196" s="434"/>
      <c r="H196" s="440"/>
      <c r="I196" s="123"/>
      <c r="J196" s="434"/>
      <c r="K196" s="441"/>
      <c r="L196" s="441"/>
      <c r="M196" s="430"/>
      <c r="N196" s="118"/>
      <c r="O196" s="118"/>
      <c r="P196" s="118"/>
      <c r="Q196" s="118"/>
      <c r="R196" s="118"/>
    </row>
    <row r="197" customFormat="false" ht="14.65" hidden="false" customHeight="true" outlineLevel="0" collapsed="false">
      <c r="A197" s="442" t="s">
        <v>298</v>
      </c>
      <c r="B197" s="442"/>
      <c r="C197" s="442"/>
      <c r="D197" s="442"/>
      <c r="E197" s="442"/>
      <c r="F197" s="442"/>
      <c r="G197" s="442"/>
      <c r="H197" s="442"/>
      <c r="I197" s="442"/>
      <c r="J197" s="442"/>
      <c r="K197" s="442"/>
      <c r="L197" s="442"/>
      <c r="M197" s="318"/>
    </row>
    <row r="198" customFormat="false" ht="9" hidden="false" customHeight="true" outlineLevel="0" collapsed="false">
      <c r="A198" s="443"/>
      <c r="B198" s="444"/>
      <c r="C198" s="101"/>
      <c r="D198" s="101"/>
      <c r="E198" s="101"/>
      <c r="F198" s="101"/>
      <c r="G198" s="101"/>
      <c r="H198" s="101"/>
      <c r="I198" s="101"/>
      <c r="J198" s="101"/>
      <c r="K198" s="101"/>
      <c r="L198" s="445"/>
    </row>
    <row r="199" customFormat="false" ht="12.75" hidden="false" customHeight="true" outlineLevel="0" collapsed="false">
      <c r="A199" s="443"/>
      <c r="B199" s="446" t="s">
        <v>299</v>
      </c>
      <c r="C199" s="101"/>
      <c r="D199" s="101"/>
      <c r="E199" s="101"/>
      <c r="F199" s="101"/>
      <c r="G199" s="101"/>
      <c r="H199" s="101"/>
      <c r="I199" s="101"/>
      <c r="J199" s="101"/>
      <c r="K199" s="447"/>
      <c r="L199" s="448"/>
    </row>
    <row r="200" customFormat="false" ht="9" hidden="false" customHeight="true" outlineLevel="0" collapsed="false">
      <c r="A200" s="443"/>
      <c r="B200" s="444"/>
      <c r="C200" s="101"/>
      <c r="D200" s="101"/>
      <c r="E200" s="101"/>
      <c r="F200" s="101"/>
      <c r="G200" s="101"/>
      <c r="H200" s="101"/>
      <c r="I200" s="101"/>
      <c r="J200" s="101"/>
      <c r="K200" s="449"/>
      <c r="L200" s="448"/>
    </row>
    <row r="201" customFormat="false" ht="12.75" hidden="false" customHeight="true" outlineLevel="0" collapsed="false">
      <c r="A201" s="443"/>
      <c r="B201" s="446" t="s">
        <v>300</v>
      </c>
      <c r="C201" s="101"/>
      <c r="D201" s="101"/>
      <c r="E201" s="101"/>
      <c r="F201" s="101"/>
      <c r="G201" s="101"/>
      <c r="H201" s="101"/>
      <c r="I201" s="101"/>
      <c r="J201" s="101"/>
      <c r="K201" s="447"/>
      <c r="L201" s="448"/>
    </row>
    <row r="202" customFormat="false" ht="6.75" hidden="false" customHeight="true" outlineLevel="0" collapsed="false">
      <c r="A202" s="443"/>
      <c r="B202" s="444"/>
      <c r="C202" s="101"/>
      <c r="D202" s="101"/>
      <c r="E202" s="101"/>
      <c r="F202" s="101"/>
      <c r="G202" s="101"/>
      <c r="H202" s="101"/>
      <c r="I202" s="101"/>
      <c r="J202" s="101"/>
      <c r="K202" s="101"/>
      <c r="L202" s="450"/>
    </row>
    <row r="203" customFormat="false" ht="12.75" hidden="false" customHeight="true" outlineLevel="0" collapsed="false">
      <c r="A203" s="443" t="s">
        <v>301</v>
      </c>
      <c r="B203" s="101" t="s">
        <v>302</v>
      </c>
      <c r="C203" s="101"/>
      <c r="D203" s="101"/>
      <c r="E203" s="101"/>
      <c r="F203" s="101"/>
      <c r="G203" s="101"/>
      <c r="H203" s="101"/>
      <c r="I203" s="101"/>
      <c r="J203" s="444" t="s">
        <v>205</v>
      </c>
      <c r="K203" s="447"/>
      <c r="L203" s="448"/>
      <c r="M203" s="318"/>
    </row>
    <row r="204" customFormat="false" ht="9" hidden="false" customHeight="true" outlineLevel="0" collapsed="false">
      <c r="A204" s="443"/>
      <c r="B204" s="101"/>
      <c r="C204" s="101"/>
      <c r="D204" s="101"/>
      <c r="E204" s="101"/>
      <c r="F204" s="101"/>
      <c r="G204" s="101"/>
      <c r="H204" s="101"/>
      <c r="I204" s="101"/>
      <c r="J204" s="444"/>
      <c r="K204" s="101"/>
      <c r="L204" s="450"/>
      <c r="M204" s="318"/>
    </row>
    <row r="205" customFormat="false" ht="12.75" hidden="false" customHeight="true" outlineLevel="0" collapsed="false">
      <c r="A205" s="443"/>
      <c r="B205" s="451" t="s">
        <v>303</v>
      </c>
      <c r="C205" s="451"/>
      <c r="D205" s="451"/>
      <c r="E205" s="101"/>
      <c r="F205" s="101"/>
      <c r="G205" s="101"/>
      <c r="H205" s="101"/>
      <c r="I205" s="101"/>
      <c r="J205" s="444"/>
      <c r="K205" s="101"/>
      <c r="L205" s="452"/>
      <c r="M205" s="318"/>
    </row>
    <row r="206" customFormat="false" ht="12.75" hidden="false" customHeight="true" outlineLevel="0" collapsed="false">
      <c r="A206" s="453" t="s">
        <v>304</v>
      </c>
      <c r="B206" s="451"/>
      <c r="C206" s="451"/>
      <c r="D206" s="451"/>
      <c r="E206" s="101" t="s">
        <v>205</v>
      </c>
      <c r="F206" s="454"/>
      <c r="G206" s="444" t="s">
        <v>305</v>
      </c>
      <c r="H206" s="101" t="n">
        <v>0.6</v>
      </c>
      <c r="I206" s="101" t="s">
        <v>306</v>
      </c>
      <c r="J206" s="444" t="s">
        <v>205</v>
      </c>
      <c r="K206" s="455" t="n">
        <f aca="false">IF(F206&gt;0,F206*H206,0)</f>
        <v>0</v>
      </c>
      <c r="L206" s="456"/>
      <c r="M206" s="318"/>
    </row>
    <row r="207" customFormat="false" ht="6" hidden="false" customHeight="true" outlineLevel="0" collapsed="false">
      <c r="A207" s="443"/>
      <c r="B207" s="101"/>
      <c r="C207" s="101"/>
      <c r="D207" s="101"/>
      <c r="E207" s="101"/>
      <c r="F207" s="101"/>
      <c r="G207" s="101"/>
      <c r="H207" s="101"/>
      <c r="I207" s="101"/>
      <c r="J207" s="444"/>
      <c r="K207" s="101"/>
      <c r="L207" s="450"/>
      <c r="M207" s="318"/>
    </row>
    <row r="208" customFormat="false" ht="14.65" hidden="false" customHeight="true" outlineLevel="0" collapsed="false">
      <c r="A208" s="443"/>
      <c r="B208" s="101"/>
      <c r="C208" s="101"/>
      <c r="D208" s="101"/>
      <c r="E208" s="101"/>
      <c r="F208" s="101"/>
      <c r="G208" s="101"/>
      <c r="H208" s="101"/>
      <c r="I208" s="101"/>
      <c r="J208" s="444"/>
      <c r="K208" s="101"/>
      <c r="L208" s="450"/>
      <c r="M208" s="318"/>
    </row>
    <row r="209" customFormat="false" ht="12.75" hidden="false" customHeight="true" outlineLevel="0" collapsed="false">
      <c r="A209" s="443"/>
      <c r="B209" s="157"/>
      <c r="C209" s="101"/>
      <c r="D209" s="101"/>
      <c r="E209" s="101"/>
      <c r="F209" s="101"/>
      <c r="G209" s="101"/>
      <c r="H209" s="101"/>
      <c r="I209" s="101"/>
      <c r="J209" s="444"/>
      <c r="K209" s="457"/>
      <c r="L209" s="448"/>
      <c r="M209" s="318"/>
    </row>
    <row r="210" customFormat="false" ht="8.25" hidden="false" customHeight="true" outlineLevel="0" collapsed="false">
      <c r="A210" s="443"/>
      <c r="B210" s="157"/>
      <c r="C210" s="101"/>
      <c r="D210" s="101"/>
      <c r="E210" s="101"/>
      <c r="F210" s="101"/>
      <c r="G210" s="101"/>
      <c r="H210" s="101"/>
      <c r="I210" s="101"/>
      <c r="J210" s="444"/>
      <c r="K210" s="101"/>
      <c r="L210" s="450"/>
      <c r="M210" s="318"/>
    </row>
    <row r="211" customFormat="false" ht="12.75" hidden="false" customHeight="true" outlineLevel="0" collapsed="false">
      <c r="A211" s="443" t="s">
        <v>307</v>
      </c>
      <c r="B211" s="101" t="s">
        <v>308</v>
      </c>
      <c r="C211" s="101"/>
      <c r="D211" s="101"/>
      <c r="E211" s="101"/>
      <c r="F211" s="101"/>
      <c r="G211" s="101"/>
      <c r="H211" s="101"/>
      <c r="I211" s="101"/>
      <c r="J211" s="444" t="s">
        <v>205</v>
      </c>
      <c r="K211" s="458" t="n">
        <f aca="false">K203+K206+K209</f>
        <v>0</v>
      </c>
      <c r="L211" s="459"/>
      <c r="M211" s="318"/>
    </row>
    <row r="212" customFormat="false" ht="8.25" hidden="false" customHeight="true" outlineLevel="0" collapsed="false">
      <c r="A212" s="443"/>
      <c r="B212" s="101"/>
      <c r="C212" s="101"/>
      <c r="D212" s="101"/>
      <c r="E212" s="101"/>
      <c r="F212" s="101"/>
      <c r="G212" s="101"/>
      <c r="H212" s="101"/>
      <c r="I212" s="101"/>
      <c r="J212" s="444"/>
      <c r="K212" s="101"/>
      <c r="L212" s="450"/>
      <c r="M212" s="318"/>
    </row>
    <row r="213" customFormat="false" ht="14.65" hidden="false" customHeight="true" outlineLevel="0" collapsed="false">
      <c r="A213" s="443" t="s">
        <v>309</v>
      </c>
      <c r="B213" s="101" t="s">
        <v>310</v>
      </c>
      <c r="C213" s="101"/>
      <c r="D213" s="101"/>
      <c r="E213" s="101"/>
      <c r="F213" s="101"/>
      <c r="G213" s="101"/>
      <c r="H213" s="101"/>
      <c r="I213" s="101"/>
      <c r="J213" s="444"/>
      <c r="K213" s="101"/>
      <c r="L213" s="450"/>
      <c r="M213" s="318"/>
    </row>
    <row r="214" customFormat="false" ht="12.75" hidden="false" customHeight="true" outlineLevel="0" collapsed="false">
      <c r="A214" s="443"/>
      <c r="B214" s="157" t="s">
        <v>311</v>
      </c>
      <c r="C214" s="101"/>
      <c r="D214" s="101"/>
      <c r="E214" s="101"/>
      <c r="F214" s="101"/>
      <c r="G214" s="101"/>
      <c r="H214" s="101"/>
      <c r="I214" s="101"/>
      <c r="J214" s="444" t="s">
        <v>206</v>
      </c>
      <c r="K214" s="455" t="n">
        <f aca="false">'costo-mq'!$O$82</f>
        <v>312.7311</v>
      </c>
      <c r="L214" s="456"/>
    </row>
    <row r="215" customFormat="false" ht="6" hidden="false" customHeight="true" outlineLevel="0" collapsed="false">
      <c r="A215" s="443"/>
      <c r="B215" s="101"/>
      <c r="C215" s="101"/>
      <c r="D215" s="101"/>
      <c r="E215" s="101"/>
      <c r="F215" s="101"/>
      <c r="G215" s="101"/>
      <c r="H215" s="101"/>
      <c r="I215" s="101"/>
      <c r="J215" s="444"/>
      <c r="K215" s="154"/>
      <c r="L215" s="460"/>
      <c r="M215" s="318"/>
    </row>
    <row r="216" customFormat="false" ht="18" hidden="false" customHeight="true" outlineLevel="0" collapsed="false">
      <c r="A216" s="443"/>
      <c r="B216" s="101"/>
      <c r="C216" s="101"/>
      <c r="D216" s="101"/>
      <c r="E216" s="101"/>
      <c r="F216" s="101"/>
      <c r="G216" s="101"/>
      <c r="H216" s="461"/>
      <c r="I216" s="101"/>
      <c r="J216" s="444"/>
      <c r="K216" s="154"/>
      <c r="L216" s="460"/>
      <c r="M216" s="462"/>
    </row>
    <row r="217" customFormat="false" ht="6" hidden="false" customHeight="true" outlineLevel="0" collapsed="false">
      <c r="A217" s="443"/>
      <c r="B217" s="101"/>
      <c r="C217" s="101"/>
      <c r="D217" s="101"/>
      <c r="E217" s="101"/>
      <c r="F217" s="101"/>
      <c r="G217" s="101"/>
      <c r="H217" s="101"/>
      <c r="I217" s="101"/>
      <c r="J217" s="444"/>
      <c r="K217" s="154"/>
      <c r="L217" s="463"/>
      <c r="M217" s="318"/>
    </row>
    <row r="218" customFormat="false" ht="12.75" hidden="false" customHeight="true" outlineLevel="0" collapsed="false">
      <c r="A218" s="443" t="s">
        <v>312</v>
      </c>
      <c r="B218" s="464" t="s">
        <v>313</v>
      </c>
      <c r="C218" s="465"/>
      <c r="D218" s="465"/>
      <c r="E218" s="465"/>
      <c r="F218" s="465"/>
      <c r="G218" s="465"/>
      <c r="H218" s="465"/>
      <c r="I218" s="465"/>
      <c r="J218" s="466" t="s">
        <v>169</v>
      </c>
      <c r="K218" s="458" t="n">
        <f aca="false">K211*K214</f>
        <v>0</v>
      </c>
      <c r="L218" s="459"/>
      <c r="M218" s="318"/>
    </row>
    <row r="219" customFormat="false" ht="14.65" hidden="false" customHeight="true" outlineLevel="0" collapsed="false">
      <c r="A219" s="167"/>
      <c r="B219" s="142"/>
      <c r="C219" s="142"/>
      <c r="D219" s="142"/>
      <c r="E219" s="142"/>
      <c r="F219" s="142"/>
      <c r="G219" s="142"/>
      <c r="H219" s="142"/>
      <c r="I219" s="142"/>
      <c r="J219" s="142"/>
      <c r="K219" s="142"/>
      <c r="L219" s="379"/>
      <c r="M219" s="318"/>
    </row>
    <row r="220" customFormat="false" ht="5.1" hidden="false" customHeight="true" outlineLevel="0" collapsed="false">
      <c r="A220" s="167"/>
      <c r="B220" s="142"/>
      <c r="C220" s="142"/>
      <c r="D220" s="142"/>
      <c r="E220" s="142"/>
      <c r="F220" s="142"/>
      <c r="G220" s="142"/>
      <c r="H220" s="142"/>
      <c r="I220" s="142"/>
      <c r="J220" s="142"/>
      <c r="K220" s="142"/>
      <c r="L220" s="379"/>
      <c r="M220" s="318"/>
    </row>
    <row r="221" customFormat="false" ht="14.65" hidden="false" customHeight="true" outlineLevel="0" collapsed="false">
      <c r="A221" s="467" t="s">
        <v>314</v>
      </c>
      <c r="B221" s="467"/>
      <c r="C221" s="467"/>
      <c r="D221" s="467"/>
      <c r="E221" s="467"/>
      <c r="F221" s="467"/>
      <c r="G221" s="467"/>
      <c r="H221" s="467"/>
      <c r="I221" s="467"/>
      <c r="J221" s="467"/>
      <c r="K221" s="467"/>
      <c r="L221" s="467"/>
      <c r="M221" s="318"/>
    </row>
    <row r="222" customFormat="false" ht="5.1" hidden="false" customHeight="true" outlineLevel="0" collapsed="false">
      <c r="A222" s="167"/>
      <c r="B222" s="142"/>
      <c r="C222" s="142"/>
      <c r="D222" s="142"/>
      <c r="E222" s="142"/>
      <c r="F222" s="142"/>
      <c r="G222" s="142"/>
      <c r="H222" s="142"/>
      <c r="I222" s="142"/>
      <c r="J222" s="142"/>
      <c r="K222" s="142"/>
      <c r="L222" s="379"/>
      <c r="M222" s="318"/>
    </row>
    <row r="223" customFormat="false" ht="16.5" hidden="false" customHeight="true" outlineLevel="0" collapsed="false">
      <c r="A223" s="167"/>
      <c r="B223" s="352" t="s">
        <v>225</v>
      </c>
      <c r="C223" s="142"/>
      <c r="D223" s="383" t="s">
        <v>315</v>
      </c>
      <c r="E223" s="383"/>
      <c r="F223" s="388" t="s">
        <v>316</v>
      </c>
      <c r="G223" s="142"/>
      <c r="H223" s="142"/>
      <c r="I223" s="383" t="s">
        <v>317</v>
      </c>
      <c r="J223" s="383"/>
      <c r="K223" s="383"/>
      <c r="L223" s="379"/>
      <c r="M223" s="318"/>
    </row>
    <row r="224" customFormat="false" ht="11.25" hidden="false" customHeight="true" outlineLevel="0" collapsed="false">
      <c r="A224" s="167"/>
      <c r="B224" s="142"/>
      <c r="C224" s="142"/>
      <c r="D224" s="383"/>
      <c r="E224" s="383"/>
      <c r="F224" s="355"/>
      <c r="G224" s="142"/>
      <c r="H224" s="142"/>
      <c r="I224" s="383"/>
      <c r="J224" s="383"/>
      <c r="K224" s="383"/>
      <c r="L224" s="379"/>
      <c r="M224" s="318"/>
      <c r="N224" s="468" t="n">
        <f aca="false">SUM(E228:E238)</f>
        <v>0.07</v>
      </c>
      <c r="P224" s="468" t="n">
        <f aca="false">SUM(J226:J238)</f>
        <v>0.07</v>
      </c>
    </row>
    <row r="225" customFormat="false" ht="6" hidden="false" customHeight="true" outlineLevel="0" collapsed="false">
      <c r="A225" s="167"/>
      <c r="B225" s="142"/>
      <c r="C225" s="142"/>
      <c r="D225" s="383"/>
      <c r="E225" s="383"/>
      <c r="F225" s="355"/>
      <c r="G225" s="142"/>
      <c r="H225" s="142"/>
      <c r="I225" s="383"/>
      <c r="J225" s="383"/>
      <c r="K225" s="383"/>
      <c r="L225" s="379"/>
      <c r="M225" s="318"/>
    </row>
    <row r="226" customFormat="false" ht="13.5" hidden="false" customHeight="true" outlineLevel="0" collapsed="false">
      <c r="A226" s="167"/>
      <c r="B226" s="142"/>
      <c r="C226" s="142"/>
      <c r="D226" s="383"/>
      <c r="E226" s="383"/>
      <c r="F226" s="205" t="s">
        <v>318</v>
      </c>
      <c r="G226" s="403" t="str">
        <f aca="false">IF(K201&gt;60,"X","-")</f>
        <v>-</v>
      </c>
      <c r="H226" s="142"/>
      <c r="I226" s="142"/>
      <c r="J226" s="469"/>
      <c r="K226" s="383"/>
      <c r="L226" s="379"/>
      <c r="M226" s="318"/>
    </row>
    <row r="227" customFormat="false" ht="6" hidden="false" customHeight="true" outlineLevel="0" collapsed="false">
      <c r="A227" s="167"/>
      <c r="B227" s="142"/>
      <c r="C227" s="142"/>
      <c r="D227" s="142"/>
      <c r="E227" s="142"/>
      <c r="K227" s="142"/>
      <c r="L227" s="379"/>
      <c r="M227" s="318"/>
    </row>
    <row r="228" customFormat="false" ht="14.65" hidden="false" customHeight="true" outlineLevel="0" collapsed="false">
      <c r="A228" s="167"/>
      <c r="B228" s="295" t="s">
        <v>319</v>
      </c>
      <c r="C228" s="403" t="str">
        <f aca="false">IF(K199&gt;160,"X","-")</f>
        <v>-</v>
      </c>
      <c r="D228" s="142"/>
      <c r="E228" s="470" t="str">
        <f aca="false">IF($C$49="X"," ",IF(C228="X",N228,IF(C228="-"," ",0)))</f>
        <v> </v>
      </c>
      <c r="F228" s="205" t="s">
        <v>320</v>
      </c>
      <c r="G228" s="403" t="str">
        <f aca="false">IF(K201&gt;60,"-",IF(K201&gt;55,"X","-"))</f>
        <v>-</v>
      </c>
      <c r="H228" s="142"/>
      <c r="I228" s="142"/>
      <c r="J228" s="469" t="str">
        <f aca="false">O228</f>
        <v> </v>
      </c>
      <c r="L228" s="379"/>
      <c r="M228" s="471" t="n">
        <f aca="false">IF(E228=" ",0,IF(G228="x","9%",IF(G226="x","10%",0)))</f>
        <v>0</v>
      </c>
      <c r="N228" s="472" t="n">
        <v>0.09</v>
      </c>
      <c r="O228" s="473" t="str">
        <f aca="false">IF(E228&lt;&gt;" ",IF(K201&gt;60,P228,N228)," ")</f>
        <v> </v>
      </c>
      <c r="P228" s="472" t="n">
        <v>0.1</v>
      </c>
    </row>
    <row r="229" customFormat="false" ht="6" hidden="false" customHeight="true" outlineLevel="0" collapsed="false">
      <c r="A229" s="167"/>
      <c r="B229" s="295"/>
      <c r="C229" s="142"/>
      <c r="D229" s="142"/>
      <c r="E229" s="105"/>
      <c r="F229" s="205"/>
      <c r="G229" s="142"/>
      <c r="H229" s="142"/>
      <c r="I229" s="142"/>
      <c r="J229" s="156"/>
      <c r="L229" s="379"/>
      <c r="M229" s="474"/>
    </row>
    <row r="230" customFormat="false" ht="12.75" hidden="false" customHeight="true" outlineLevel="0" collapsed="false">
      <c r="A230" s="167"/>
      <c r="B230" s="295" t="s">
        <v>321</v>
      </c>
      <c r="C230" s="403" t="str">
        <f aca="false">IF(K199&gt;160,"-",IF(K199&lt;130,"-",IF(K199&lt;160,"X",0)))</f>
        <v>-</v>
      </c>
      <c r="D230" s="142"/>
      <c r="E230" s="470" t="str">
        <f aca="false">IF($C$49="X"," ",IF(C230="X",N230,IF(C230="-"," ",0)))</f>
        <v> </v>
      </c>
      <c r="F230" s="205" t="s">
        <v>322</v>
      </c>
      <c r="G230" s="403" t="str">
        <f aca="false">IF(K201&gt;55,"-",IF(K201&gt;50,"X","-"))</f>
        <v>-</v>
      </c>
      <c r="H230" s="142"/>
      <c r="I230" s="142"/>
      <c r="J230" s="469" t="str">
        <f aca="false">O230</f>
        <v> </v>
      </c>
      <c r="K230" s="475"/>
      <c r="L230" s="379"/>
      <c r="M230" s="471" t="n">
        <f aca="false">IF(E230=" ",0,IF(G228="x","9%",IF(E228="-","8%",0)))</f>
        <v>0</v>
      </c>
      <c r="N230" s="472" t="n">
        <v>0.08</v>
      </c>
      <c r="O230" s="425" t="str">
        <f aca="false">IF(E230&lt;&gt;" ",IF(K201&gt;55,P230,N230)," ")</f>
        <v> </v>
      </c>
      <c r="P230" s="472" t="n">
        <v>0.09</v>
      </c>
    </row>
    <row r="231" customFormat="false" ht="5.1" hidden="false" customHeight="true" outlineLevel="0" collapsed="false">
      <c r="A231" s="167"/>
      <c r="B231" s="295"/>
      <c r="C231" s="142"/>
      <c r="D231" s="142"/>
      <c r="E231" s="105"/>
      <c r="F231" s="205"/>
      <c r="G231" s="142"/>
      <c r="H231" s="142"/>
      <c r="I231" s="142"/>
      <c r="J231" s="156"/>
      <c r="K231" s="142"/>
      <c r="L231" s="379"/>
      <c r="M231" s="471"/>
    </row>
    <row r="232" customFormat="false" ht="14.65" hidden="false" customHeight="true" outlineLevel="0" collapsed="false">
      <c r="A232" s="167"/>
      <c r="B232" s="295" t="s">
        <v>323</v>
      </c>
      <c r="C232" s="403" t="str">
        <f aca="false">IF(K199&gt;130,"-",IF(K199&lt;110,"-",IF(K199&lt;130,"X",0)))</f>
        <v>-</v>
      </c>
      <c r="D232" s="142"/>
      <c r="E232" s="470" t="str">
        <f aca="false">IF($C$49="X"," ",IF(C232="X",N232,IF(C232="-"," ",0)))</f>
        <v> </v>
      </c>
      <c r="F232" s="205" t="s">
        <v>324</v>
      </c>
      <c r="G232" s="403" t="str">
        <f aca="false">IF(K201&gt;50,"-",IF(K201&gt;45,"X","-"))</f>
        <v>-</v>
      </c>
      <c r="H232" s="142"/>
      <c r="I232" s="142"/>
      <c r="J232" s="469" t="str">
        <f aca="false">O232</f>
        <v> </v>
      </c>
      <c r="K232" s="475"/>
      <c r="L232" s="379"/>
      <c r="M232" s="471" t="n">
        <f aca="false">IF(E232=" ",0,IF(G230="x","9%",IF(G228="x","9%",IF(E232="8%","8%",0))))</f>
        <v>0</v>
      </c>
      <c r="N232" s="472" t="n">
        <v>0.08</v>
      </c>
      <c r="O232" s="425" t="str">
        <f aca="false">IF(E232&lt;&gt;" ",IF(K201&gt;50,P232,N232)," ")</f>
        <v> </v>
      </c>
      <c r="P232" s="472" t="n">
        <v>0.09</v>
      </c>
    </row>
    <row r="233" customFormat="false" ht="5.1" hidden="false" customHeight="true" outlineLevel="0" collapsed="false">
      <c r="A233" s="167"/>
      <c r="B233" s="295"/>
      <c r="C233" s="142"/>
      <c r="D233" s="142"/>
      <c r="E233" s="105"/>
      <c r="F233" s="205"/>
      <c r="G233" s="142"/>
      <c r="H233" s="142"/>
      <c r="I233" s="142"/>
      <c r="J233" s="156"/>
      <c r="K233" s="142"/>
      <c r="L233" s="379"/>
      <c r="M233" s="471"/>
    </row>
    <row r="234" customFormat="false" ht="14.65" hidden="false" customHeight="true" outlineLevel="0" collapsed="false">
      <c r="A234" s="167"/>
      <c r="B234" s="295" t="s">
        <v>325</v>
      </c>
      <c r="C234" s="403" t="str">
        <f aca="false">IF(K199&gt;110,"-",IF(K199&lt;95,"-",IF(K199&lt;110,"X",0)))</f>
        <v>-</v>
      </c>
      <c r="D234" s="142"/>
      <c r="E234" s="470" t="str">
        <f aca="false">IF($C$49="X"," ",IF(C234="X",N234,IF(C234="-"," ",0)))</f>
        <v> </v>
      </c>
      <c r="F234" s="205" t="s">
        <v>326</v>
      </c>
      <c r="G234" s="403" t="str">
        <f aca="false">IF(K201&gt;45,"-",IF(K201&gt;40,"X","-"))</f>
        <v>-</v>
      </c>
      <c r="H234" s="142"/>
      <c r="I234" s="142"/>
      <c r="J234" s="469" t="str">
        <f aca="false">O234</f>
        <v> </v>
      </c>
      <c r="K234" s="475"/>
      <c r="L234" s="379"/>
      <c r="M234" s="471" t="n">
        <f aca="false">IF(E234=" ",0,IF(G232="x","8%",IF(G230="x","8%",IF(G228="x","8%",IF(E234="7%","7%",0)))))</f>
        <v>0</v>
      </c>
      <c r="N234" s="472" t="n">
        <v>0.07</v>
      </c>
      <c r="O234" s="425" t="str">
        <f aca="false">IF(E234&lt;&gt;" ",IF(K201&gt;45,P234,N234)," ")</f>
        <v> </v>
      </c>
      <c r="P234" s="472" t="n">
        <v>0.08</v>
      </c>
    </row>
    <row r="235" customFormat="false" ht="5.1" hidden="false" customHeight="true" outlineLevel="0" collapsed="false">
      <c r="A235" s="167"/>
      <c r="B235" s="295"/>
      <c r="C235" s="142"/>
      <c r="D235" s="142"/>
      <c r="E235" s="105"/>
      <c r="F235" s="205"/>
      <c r="G235" s="142"/>
      <c r="H235" s="142"/>
      <c r="I235" s="142"/>
      <c r="J235" s="156"/>
      <c r="K235" s="142"/>
      <c r="L235" s="379"/>
      <c r="M235" s="474"/>
    </row>
    <row r="236" customFormat="false" ht="14.65" hidden="false" customHeight="true" outlineLevel="0" collapsed="false">
      <c r="A236" s="167"/>
      <c r="B236" s="295" t="s">
        <v>327</v>
      </c>
      <c r="C236" s="403" t="str">
        <f aca="false">IF(K199&lt;95,"X","-")</f>
        <v>X</v>
      </c>
      <c r="D236" s="142"/>
      <c r="E236" s="469" t="n">
        <f aca="false">IF($C$49="X"," ",IF(C236="X",N236,IF(C236="-"," ",0)))</f>
        <v>0.07</v>
      </c>
      <c r="F236" s="205" t="s">
        <v>328</v>
      </c>
      <c r="G236" s="403" t="str">
        <f aca="false">IF(K201&lt;=40,"X","-")</f>
        <v>X</v>
      </c>
      <c r="H236" s="142"/>
      <c r="I236" s="142"/>
      <c r="J236" s="469" t="n">
        <f aca="false">O236</f>
        <v>0.07</v>
      </c>
      <c r="K236" s="475"/>
      <c r="L236" s="379"/>
      <c r="M236" s="471" t="n">
        <f aca="false">IF(E236=" ",0,IF(G234="x","8%",IF(G232="x","8%",IF(G230="x","8%",IF(G228="x","8%",IF(E236="7%","7%",0))))))</f>
        <v>0</v>
      </c>
      <c r="N236" s="472" t="n">
        <v>0.07</v>
      </c>
      <c r="O236" s="472" t="n">
        <f aca="false">IF(E236&lt;&gt;" ",IF(K201&gt;40,P236,N236)," ")</f>
        <v>0.07</v>
      </c>
      <c r="P236" s="472" t="n">
        <v>0.08</v>
      </c>
    </row>
    <row r="237" customFormat="false" ht="5.1" hidden="false" customHeight="true" outlineLevel="0" collapsed="false">
      <c r="A237" s="167"/>
      <c r="B237" s="142"/>
      <c r="C237" s="142"/>
      <c r="D237" s="142"/>
      <c r="E237" s="105"/>
      <c r="K237" s="142"/>
      <c r="L237" s="379"/>
      <c r="M237" s="474"/>
    </row>
    <row r="238" customFormat="false" ht="14.65" hidden="false" customHeight="true" outlineLevel="0" collapsed="false">
      <c r="A238" s="167"/>
      <c r="B238" s="295" t="s">
        <v>329</v>
      </c>
      <c r="C238" s="476"/>
      <c r="D238" s="142"/>
      <c r="E238" s="475" t="str">
        <f aca="false">IF(C238="X",N238," ")</f>
        <v> </v>
      </c>
      <c r="J238" s="477" t="str">
        <f aca="false">E238</f>
        <v> </v>
      </c>
      <c r="K238" s="475" t="s">
        <v>330</v>
      </c>
      <c r="L238" s="379"/>
      <c r="M238" s="471" t="n">
        <f aca="false">IF(J238=" ",0,IF(J238="10%",0.1,0))</f>
        <v>0</v>
      </c>
      <c r="N238" s="472" t="n">
        <v>0.1</v>
      </c>
    </row>
    <row r="239" customFormat="false" ht="9" hidden="false" customHeight="true" outlineLevel="0" collapsed="false">
      <c r="A239" s="167"/>
      <c r="B239" s="142"/>
      <c r="C239" s="142"/>
      <c r="D239" s="142"/>
      <c r="E239" s="142"/>
      <c r="F239" s="142"/>
      <c r="G239" s="142"/>
      <c r="H239" s="142"/>
      <c r="I239" s="142"/>
      <c r="J239" s="142"/>
      <c r="K239" s="142"/>
      <c r="L239" s="379"/>
      <c r="M239" s="471" t="n">
        <f aca="false">M228+M230+M232+M234+M236+M238</f>
        <v>0</v>
      </c>
    </row>
    <row r="240" customFormat="false" ht="6" hidden="false" customHeight="true" outlineLevel="0" collapsed="false">
      <c r="A240" s="167"/>
      <c r="B240" s="142"/>
      <c r="C240" s="142"/>
      <c r="D240" s="142"/>
      <c r="E240" s="142"/>
      <c r="F240" s="142"/>
      <c r="G240" s="142"/>
      <c r="H240" s="142"/>
      <c r="I240" s="142"/>
      <c r="J240" s="142"/>
      <c r="K240" s="142"/>
      <c r="L240" s="379"/>
      <c r="M240" s="318"/>
    </row>
    <row r="241" customFormat="false" ht="12.75" hidden="false" customHeight="true" outlineLevel="0" collapsed="false">
      <c r="A241" s="167"/>
      <c r="B241" s="142" t="s">
        <v>331</v>
      </c>
      <c r="C241" s="142"/>
      <c r="D241" s="142"/>
      <c r="E241" s="142"/>
      <c r="F241" s="142"/>
      <c r="G241" s="476"/>
      <c r="H241" s="142"/>
      <c r="I241" s="142"/>
      <c r="J241" s="142"/>
      <c r="K241" s="142"/>
      <c r="L241" s="379"/>
      <c r="M241" s="318"/>
      <c r="N241" s="425" t="n">
        <f aca="false">IF(G241="X",1,0)</f>
        <v>0</v>
      </c>
    </row>
    <row r="242" customFormat="false" ht="6" hidden="false" customHeight="true" outlineLevel="0" collapsed="false">
      <c r="A242" s="167"/>
      <c r="B242" s="142"/>
      <c r="C242" s="142"/>
      <c r="D242" s="142"/>
      <c r="E242" s="142"/>
      <c r="F242" s="142"/>
      <c r="G242" s="295"/>
      <c r="H242" s="142"/>
      <c r="I242" s="142"/>
      <c r="J242" s="142"/>
      <c r="K242" s="142"/>
      <c r="L242" s="379"/>
      <c r="M242" s="318"/>
    </row>
    <row r="243" customFormat="false" ht="14.65" hidden="false" customHeight="true" outlineLevel="0" collapsed="false">
      <c r="A243" s="167"/>
      <c r="B243" s="142" t="s">
        <v>332</v>
      </c>
      <c r="C243" s="142"/>
      <c r="D243" s="142"/>
      <c r="E243" s="142"/>
      <c r="F243" s="142"/>
      <c r="G243" s="476" t="s">
        <v>238</v>
      </c>
      <c r="H243" s="142"/>
      <c r="I243" s="142"/>
      <c r="J243" s="142"/>
      <c r="K243" s="142"/>
      <c r="L243" s="379"/>
      <c r="M243" s="318"/>
      <c r="N243" s="425" t="n">
        <f aca="false">IF(G243="X",1,0)</f>
        <v>0</v>
      </c>
    </row>
    <row r="244" customFormat="false" ht="5.1" hidden="false" customHeight="true" outlineLevel="0" collapsed="false">
      <c r="A244" s="167"/>
      <c r="B244" s="142"/>
      <c r="C244" s="142"/>
      <c r="D244" s="142"/>
      <c r="E244" s="142"/>
      <c r="F244" s="142"/>
      <c r="G244" s="295"/>
      <c r="H244" s="142"/>
      <c r="I244" s="142"/>
      <c r="J244" s="142"/>
      <c r="K244" s="142"/>
      <c r="L244" s="379"/>
      <c r="M244" s="318"/>
    </row>
    <row r="245" customFormat="false" ht="12.75" hidden="false" customHeight="true" outlineLevel="0" collapsed="false">
      <c r="A245" s="167"/>
      <c r="B245" s="142" t="s">
        <v>333</v>
      </c>
      <c r="C245" s="142"/>
      <c r="D245" s="142"/>
      <c r="E245" s="142"/>
      <c r="F245" s="142"/>
      <c r="G245" s="476"/>
      <c r="H245" s="142"/>
      <c r="I245" s="142"/>
      <c r="J245" s="142"/>
      <c r="K245" s="142"/>
      <c r="L245" s="379"/>
      <c r="M245" s="318"/>
      <c r="N245" s="425" t="n">
        <f aca="false">IF(G245="X",1,0)</f>
        <v>0</v>
      </c>
    </row>
    <row r="246" customFormat="false" ht="4.5" hidden="false" customHeight="true" outlineLevel="0" collapsed="false">
      <c r="A246" s="167"/>
      <c r="B246" s="142"/>
      <c r="C246" s="142"/>
      <c r="D246" s="142"/>
      <c r="E246" s="142"/>
      <c r="F246" s="142"/>
      <c r="G246" s="142"/>
      <c r="H246" s="142"/>
      <c r="I246" s="142"/>
      <c r="J246" s="142"/>
      <c r="K246" s="142"/>
      <c r="L246" s="379"/>
      <c r="M246" s="318"/>
    </row>
    <row r="247" customFormat="false" ht="15" hidden="false" customHeight="true" outlineLevel="0" collapsed="false">
      <c r="A247" s="167"/>
      <c r="B247" s="142" t="s">
        <v>334</v>
      </c>
      <c r="C247" s="142"/>
      <c r="D247" s="142"/>
      <c r="E247" s="142"/>
      <c r="F247" s="142"/>
      <c r="G247" s="142"/>
      <c r="H247" s="142"/>
      <c r="I247" s="142"/>
      <c r="J247" s="142"/>
      <c r="K247" s="478" t="n">
        <f aca="false">IF(N247&gt;0,O247-0.01,O247)</f>
        <v>0.07</v>
      </c>
      <c r="L247" s="478"/>
      <c r="M247" s="318"/>
      <c r="N247" s="425" t="n">
        <f aca="false">N241+N243+N245</f>
        <v>0</v>
      </c>
      <c r="O247" s="473" t="n">
        <f aca="false">IF(J238&lt;&gt;" ",J238,P224)</f>
        <v>0.07</v>
      </c>
    </row>
    <row r="248" customFormat="false" ht="4.5" hidden="false" customHeight="true" outlineLevel="0" collapsed="false">
      <c r="A248" s="167"/>
      <c r="B248" s="142"/>
      <c r="C248" s="142"/>
      <c r="D248" s="142"/>
      <c r="E248" s="142"/>
      <c r="F248" s="142"/>
      <c r="G248" s="142"/>
      <c r="H248" s="142"/>
      <c r="I248" s="142"/>
      <c r="J248" s="142"/>
      <c r="K248" s="142"/>
      <c r="L248" s="379"/>
      <c r="M248" s="318"/>
    </row>
    <row r="249" customFormat="false" ht="4.5" hidden="false" customHeight="true" outlineLevel="0" collapsed="false">
      <c r="A249" s="167"/>
      <c r="B249" s="142"/>
      <c r="C249" s="142"/>
      <c r="D249" s="142"/>
      <c r="E249" s="142"/>
      <c r="F249" s="142"/>
      <c r="G249" s="142"/>
      <c r="H249" s="142"/>
      <c r="I249" s="142"/>
      <c r="J249" s="142"/>
      <c r="K249" s="142"/>
      <c r="L249" s="379"/>
      <c r="M249" s="318"/>
    </row>
    <row r="250" customFormat="false" ht="12.75" hidden="false" customHeight="true" outlineLevel="0" collapsed="false">
      <c r="A250" s="467" t="s">
        <v>335</v>
      </c>
      <c r="B250" s="467"/>
      <c r="C250" s="467"/>
      <c r="D250" s="467"/>
      <c r="E250" s="467"/>
      <c r="F250" s="467"/>
      <c r="G250" s="467"/>
      <c r="H250" s="467"/>
      <c r="I250" s="467"/>
      <c r="J250" s="467"/>
      <c r="K250" s="467"/>
      <c r="L250" s="467"/>
      <c r="M250" s="318"/>
    </row>
    <row r="251" customFormat="false" ht="6" hidden="false" customHeight="true" outlineLevel="0" collapsed="false">
      <c r="A251" s="167"/>
      <c r="B251" s="142"/>
      <c r="C251" s="142"/>
      <c r="D251" s="142"/>
      <c r="E251" s="142"/>
      <c r="F251" s="142"/>
      <c r="G251" s="142"/>
      <c r="H251" s="142"/>
      <c r="I251" s="142"/>
      <c r="J251" s="142"/>
      <c r="K251" s="142"/>
      <c r="L251" s="379"/>
      <c r="M251" s="318"/>
    </row>
    <row r="252" customFormat="false" ht="18" hidden="false" customHeight="true" outlineLevel="0" collapsed="false">
      <c r="A252" s="167"/>
      <c r="B252" s="142" t="s">
        <v>336</v>
      </c>
      <c r="C252" s="142"/>
      <c r="D252" s="142"/>
      <c r="E252" s="142"/>
      <c r="F252" s="142"/>
      <c r="G252" s="142"/>
      <c r="H252" s="142" t="s">
        <v>169</v>
      </c>
      <c r="I252" s="479" t="n">
        <f aca="false">K218</f>
        <v>0</v>
      </c>
      <c r="J252" s="479"/>
      <c r="K252" s="479"/>
      <c r="L252" s="479"/>
      <c r="M252" s="318"/>
    </row>
    <row r="253" customFormat="false" ht="5.1" hidden="false" customHeight="true" outlineLevel="0" collapsed="false">
      <c r="A253" s="167"/>
      <c r="B253" s="142"/>
      <c r="C253" s="142"/>
      <c r="D253" s="142"/>
      <c r="E253" s="142"/>
      <c r="F253" s="142"/>
      <c r="G253" s="142"/>
      <c r="H253" s="142"/>
      <c r="I253" s="142"/>
      <c r="J253" s="142"/>
      <c r="K253" s="142"/>
      <c r="L253" s="379"/>
      <c r="M253" s="318"/>
    </row>
    <row r="254" customFormat="false" ht="18" hidden="false" customHeight="true" outlineLevel="0" collapsed="false">
      <c r="A254" s="167"/>
      <c r="B254" s="142" t="s">
        <v>337</v>
      </c>
      <c r="C254" s="142"/>
      <c r="D254" s="142"/>
      <c r="E254" s="142"/>
      <c r="F254" s="142"/>
      <c r="G254" s="142"/>
      <c r="H254" s="142" t="s">
        <v>338</v>
      </c>
      <c r="I254" s="480" t="n">
        <f aca="false">K247</f>
        <v>0.07</v>
      </c>
      <c r="J254" s="480"/>
      <c r="K254" s="480"/>
      <c r="L254" s="480"/>
      <c r="M254" s="318"/>
    </row>
    <row r="255" customFormat="false" ht="5.1" hidden="false" customHeight="true" outlineLevel="0" collapsed="false">
      <c r="A255" s="167"/>
      <c r="B255" s="142"/>
      <c r="C255" s="142"/>
      <c r="D255" s="142"/>
      <c r="E255" s="142"/>
      <c r="F255" s="142"/>
      <c r="G255" s="142"/>
      <c r="H255" s="142"/>
      <c r="I255" s="142"/>
      <c r="J255" s="142"/>
      <c r="K255" s="142"/>
      <c r="L255" s="379"/>
      <c r="M255" s="318"/>
    </row>
    <row r="256" customFormat="false" ht="18" hidden="false" customHeight="true" outlineLevel="0" collapsed="false">
      <c r="A256" s="481"/>
      <c r="B256" s="197" t="s">
        <v>339</v>
      </c>
      <c r="C256" s="197"/>
      <c r="D256" s="197"/>
      <c r="E256" s="197"/>
      <c r="F256" s="197"/>
      <c r="G256" s="197"/>
      <c r="H256" s="197" t="s">
        <v>169</v>
      </c>
      <c r="I256" s="482" t="n">
        <f aca="false">I252*I254</f>
        <v>0</v>
      </c>
      <c r="J256" s="482"/>
      <c r="K256" s="482"/>
      <c r="L256" s="482"/>
      <c r="M256" s="318"/>
    </row>
    <row r="257" s="112" customFormat="true" ht="28.35" hidden="false" customHeight="true" outlineLevel="0" collapsed="false">
      <c r="A257" s="483"/>
      <c r="B257" s="484"/>
      <c r="C257" s="484"/>
      <c r="D257" s="484"/>
      <c r="E257" s="484"/>
      <c r="F257" s="484"/>
      <c r="G257" s="484"/>
      <c r="H257" s="484"/>
      <c r="I257" s="484"/>
      <c r="J257" s="484"/>
      <c r="K257" s="484"/>
      <c r="L257" s="485"/>
      <c r="M257" s="430"/>
      <c r="N257" s="118"/>
      <c r="O257" s="118"/>
      <c r="P257" s="118"/>
      <c r="Q257" s="118"/>
      <c r="R257" s="118"/>
    </row>
    <row r="258" s="112" customFormat="true" ht="18.15" hidden="false" customHeight="true" outlineLevel="0" collapsed="false">
      <c r="A258" s="432" t="s">
        <v>161</v>
      </c>
      <c r="B258" s="433"/>
      <c r="C258" s="433"/>
      <c r="D258" s="433"/>
      <c r="E258" s="433"/>
      <c r="F258" s="434" t="s">
        <v>162</v>
      </c>
      <c r="G258" s="435"/>
      <c r="H258" s="435"/>
      <c r="I258" s="123"/>
      <c r="J258" s="436"/>
      <c r="K258" s="434" t="s">
        <v>297</v>
      </c>
      <c r="L258" s="437"/>
      <c r="M258" s="430"/>
      <c r="N258" s="118"/>
      <c r="O258" s="118"/>
      <c r="P258" s="118"/>
      <c r="Q258" s="118"/>
      <c r="R258" s="118"/>
    </row>
    <row r="259" s="112" customFormat="true" ht="9.75" hidden="false" customHeight="true" outlineLevel="0" collapsed="false">
      <c r="A259" s="438"/>
      <c r="B259" s="439"/>
      <c r="C259" s="440"/>
      <c r="D259" s="440"/>
      <c r="E259" s="123"/>
      <c r="F259" s="440"/>
      <c r="G259" s="434"/>
      <c r="H259" s="440"/>
      <c r="I259" s="123"/>
      <c r="J259" s="434"/>
      <c r="K259" s="441"/>
      <c r="L259" s="441"/>
      <c r="M259" s="430"/>
      <c r="N259" s="118"/>
      <c r="O259" s="118"/>
      <c r="P259" s="118"/>
      <c r="Q259" s="118"/>
      <c r="R259" s="118"/>
    </row>
    <row r="260" customFormat="false" ht="14.65" hidden="false" customHeight="true" outlineLevel="0" collapsed="false">
      <c r="A260" s="442" t="s">
        <v>298</v>
      </c>
      <c r="B260" s="442"/>
      <c r="C260" s="442"/>
      <c r="D260" s="442"/>
      <c r="E260" s="442"/>
      <c r="F260" s="442"/>
      <c r="G260" s="442"/>
      <c r="H260" s="442"/>
      <c r="I260" s="442"/>
      <c r="J260" s="442"/>
      <c r="K260" s="442"/>
      <c r="L260" s="442"/>
      <c r="M260" s="318"/>
    </row>
    <row r="261" customFormat="false" ht="9" hidden="false" customHeight="true" outlineLevel="0" collapsed="false">
      <c r="A261" s="443"/>
      <c r="B261" s="444"/>
      <c r="C261" s="101"/>
      <c r="D261" s="101"/>
      <c r="E261" s="101"/>
      <c r="F261" s="101"/>
      <c r="G261" s="101"/>
      <c r="H261" s="101"/>
      <c r="I261" s="101"/>
      <c r="J261" s="101"/>
      <c r="K261" s="101"/>
      <c r="L261" s="445"/>
    </row>
    <row r="262" customFormat="false" ht="12.75" hidden="false" customHeight="true" outlineLevel="0" collapsed="false">
      <c r="A262" s="443"/>
      <c r="B262" s="446" t="s">
        <v>299</v>
      </c>
      <c r="C262" s="101"/>
      <c r="D262" s="101"/>
      <c r="E262" s="101"/>
      <c r="F262" s="101"/>
      <c r="G262" s="101"/>
      <c r="H262" s="101"/>
      <c r="I262" s="101"/>
      <c r="J262" s="101"/>
      <c r="K262" s="447"/>
      <c r="L262" s="448"/>
    </row>
    <row r="263" customFormat="false" ht="9" hidden="false" customHeight="true" outlineLevel="0" collapsed="false">
      <c r="A263" s="443"/>
      <c r="B263" s="444"/>
      <c r="C263" s="101"/>
      <c r="D263" s="101"/>
      <c r="E263" s="101"/>
      <c r="F263" s="101"/>
      <c r="G263" s="101"/>
      <c r="H263" s="101"/>
      <c r="I263" s="101"/>
      <c r="J263" s="101"/>
      <c r="K263" s="449"/>
      <c r="L263" s="448"/>
    </row>
    <row r="264" customFormat="false" ht="12.75" hidden="false" customHeight="true" outlineLevel="0" collapsed="false">
      <c r="A264" s="443"/>
      <c r="B264" s="446" t="s">
        <v>300</v>
      </c>
      <c r="C264" s="101"/>
      <c r="D264" s="101"/>
      <c r="E264" s="101"/>
      <c r="F264" s="101"/>
      <c r="G264" s="101"/>
      <c r="H264" s="101"/>
      <c r="I264" s="101"/>
      <c r="J264" s="101"/>
      <c r="K264" s="447"/>
      <c r="L264" s="448"/>
    </row>
    <row r="265" customFormat="false" ht="6.75" hidden="false" customHeight="true" outlineLevel="0" collapsed="false">
      <c r="A265" s="443"/>
      <c r="B265" s="444"/>
      <c r="C265" s="101"/>
      <c r="D265" s="101"/>
      <c r="E265" s="101"/>
      <c r="F265" s="101"/>
      <c r="G265" s="101"/>
      <c r="H265" s="101"/>
      <c r="I265" s="101"/>
      <c r="J265" s="101"/>
      <c r="K265" s="101"/>
      <c r="L265" s="450"/>
    </row>
    <row r="266" customFormat="false" ht="12.75" hidden="false" customHeight="true" outlineLevel="0" collapsed="false">
      <c r="A266" s="443" t="s">
        <v>301</v>
      </c>
      <c r="B266" s="101" t="s">
        <v>302</v>
      </c>
      <c r="C266" s="101"/>
      <c r="D266" s="101"/>
      <c r="E266" s="101"/>
      <c r="F266" s="101"/>
      <c r="G266" s="101"/>
      <c r="H266" s="101"/>
      <c r="I266" s="101"/>
      <c r="J266" s="444" t="s">
        <v>205</v>
      </c>
      <c r="K266" s="447"/>
      <c r="L266" s="448"/>
      <c r="M266" s="318"/>
    </row>
    <row r="267" customFormat="false" ht="9" hidden="false" customHeight="true" outlineLevel="0" collapsed="false">
      <c r="A267" s="443"/>
      <c r="B267" s="101"/>
      <c r="C267" s="101"/>
      <c r="D267" s="101"/>
      <c r="E267" s="101"/>
      <c r="F267" s="101"/>
      <c r="G267" s="101"/>
      <c r="H267" s="101"/>
      <c r="I267" s="101"/>
      <c r="J267" s="444"/>
      <c r="K267" s="101"/>
      <c r="L267" s="450"/>
      <c r="M267" s="318"/>
    </row>
    <row r="268" customFormat="false" ht="12.75" hidden="false" customHeight="true" outlineLevel="0" collapsed="false">
      <c r="A268" s="443"/>
      <c r="B268" s="451" t="s">
        <v>303</v>
      </c>
      <c r="C268" s="451"/>
      <c r="D268" s="451"/>
      <c r="E268" s="101"/>
      <c r="F268" s="101"/>
      <c r="G268" s="101"/>
      <c r="H268" s="101"/>
      <c r="I268" s="101"/>
      <c r="J268" s="444"/>
      <c r="K268" s="101"/>
      <c r="L268" s="452"/>
      <c r="M268" s="318"/>
    </row>
    <row r="269" customFormat="false" ht="12.75" hidden="false" customHeight="true" outlineLevel="0" collapsed="false">
      <c r="A269" s="453" t="s">
        <v>304</v>
      </c>
      <c r="B269" s="451"/>
      <c r="C269" s="451"/>
      <c r="D269" s="451"/>
      <c r="E269" s="101" t="s">
        <v>205</v>
      </c>
      <c r="F269" s="454"/>
      <c r="G269" s="444" t="s">
        <v>305</v>
      </c>
      <c r="H269" s="101" t="n">
        <v>0.6</v>
      </c>
      <c r="I269" s="101" t="s">
        <v>306</v>
      </c>
      <c r="J269" s="444" t="s">
        <v>205</v>
      </c>
      <c r="K269" s="455" t="n">
        <f aca="false">IF(F269&gt;0,F269*H269,0)</f>
        <v>0</v>
      </c>
      <c r="L269" s="456"/>
      <c r="M269" s="318"/>
    </row>
    <row r="270" customFormat="false" ht="6" hidden="false" customHeight="true" outlineLevel="0" collapsed="false">
      <c r="A270" s="443"/>
      <c r="B270" s="101"/>
      <c r="C270" s="101"/>
      <c r="D270" s="101"/>
      <c r="E270" s="101"/>
      <c r="F270" s="101"/>
      <c r="G270" s="101"/>
      <c r="H270" s="101"/>
      <c r="I270" s="101"/>
      <c r="J270" s="444"/>
      <c r="K270" s="101"/>
      <c r="L270" s="450"/>
      <c r="M270" s="318"/>
    </row>
    <row r="271" customFormat="false" ht="14.65" hidden="false" customHeight="true" outlineLevel="0" collapsed="false">
      <c r="A271" s="443"/>
      <c r="B271" s="101"/>
      <c r="C271" s="101"/>
      <c r="D271" s="101"/>
      <c r="E271" s="101"/>
      <c r="F271" s="101"/>
      <c r="G271" s="101"/>
      <c r="H271" s="101"/>
      <c r="I271" s="101"/>
      <c r="J271" s="444"/>
      <c r="K271" s="101"/>
      <c r="L271" s="450"/>
      <c r="M271" s="318"/>
    </row>
    <row r="272" customFormat="false" ht="12.75" hidden="false" customHeight="true" outlineLevel="0" collapsed="false">
      <c r="A272" s="443"/>
      <c r="B272" s="157"/>
      <c r="C272" s="101"/>
      <c r="D272" s="101"/>
      <c r="E272" s="101"/>
      <c r="F272" s="101"/>
      <c r="G272" s="101"/>
      <c r="H272" s="101"/>
      <c r="I272" s="101"/>
      <c r="J272" s="444"/>
      <c r="K272" s="457"/>
      <c r="L272" s="448"/>
      <c r="M272" s="318"/>
    </row>
    <row r="273" customFormat="false" ht="8.25" hidden="false" customHeight="true" outlineLevel="0" collapsed="false">
      <c r="A273" s="443"/>
      <c r="B273" s="157"/>
      <c r="C273" s="101"/>
      <c r="D273" s="101"/>
      <c r="E273" s="101"/>
      <c r="F273" s="101"/>
      <c r="G273" s="101"/>
      <c r="H273" s="101"/>
      <c r="I273" s="101"/>
      <c r="J273" s="444"/>
      <c r="K273" s="101"/>
      <c r="L273" s="450"/>
      <c r="M273" s="318"/>
    </row>
    <row r="274" customFormat="false" ht="12.75" hidden="false" customHeight="true" outlineLevel="0" collapsed="false">
      <c r="A274" s="443" t="s">
        <v>307</v>
      </c>
      <c r="B274" s="101" t="s">
        <v>308</v>
      </c>
      <c r="C274" s="101"/>
      <c r="D274" s="101"/>
      <c r="E274" s="101"/>
      <c r="F274" s="101"/>
      <c r="G274" s="101"/>
      <c r="H274" s="101"/>
      <c r="I274" s="101"/>
      <c r="J274" s="444" t="s">
        <v>205</v>
      </c>
      <c r="K274" s="458" t="n">
        <f aca="false">K266+K269+K272</f>
        <v>0</v>
      </c>
      <c r="L274" s="459"/>
      <c r="M274" s="318"/>
    </row>
    <row r="275" customFormat="false" ht="8.25" hidden="false" customHeight="true" outlineLevel="0" collapsed="false">
      <c r="A275" s="443"/>
      <c r="B275" s="101"/>
      <c r="C275" s="101"/>
      <c r="D275" s="101"/>
      <c r="E275" s="101"/>
      <c r="F275" s="101"/>
      <c r="G275" s="101"/>
      <c r="H275" s="101"/>
      <c r="I275" s="101"/>
      <c r="J275" s="444"/>
      <c r="K275" s="101"/>
      <c r="L275" s="450"/>
      <c r="M275" s="318"/>
    </row>
    <row r="276" customFormat="false" ht="14.65" hidden="false" customHeight="true" outlineLevel="0" collapsed="false">
      <c r="A276" s="443" t="s">
        <v>309</v>
      </c>
      <c r="B276" s="101" t="s">
        <v>310</v>
      </c>
      <c r="C276" s="101"/>
      <c r="D276" s="101"/>
      <c r="E276" s="101"/>
      <c r="F276" s="101"/>
      <c r="G276" s="101"/>
      <c r="H276" s="101"/>
      <c r="I276" s="101"/>
      <c r="J276" s="444"/>
      <c r="K276" s="101"/>
      <c r="L276" s="450"/>
      <c r="M276" s="318"/>
    </row>
    <row r="277" customFormat="false" ht="12.75" hidden="false" customHeight="true" outlineLevel="0" collapsed="false">
      <c r="A277" s="443"/>
      <c r="B277" s="157" t="s">
        <v>311</v>
      </c>
      <c r="C277" s="101"/>
      <c r="D277" s="101"/>
      <c r="E277" s="101"/>
      <c r="F277" s="101"/>
      <c r="G277" s="101"/>
      <c r="H277" s="101"/>
      <c r="I277" s="101"/>
      <c r="J277" s="444" t="s">
        <v>206</v>
      </c>
      <c r="K277" s="455" t="n">
        <f aca="false">'costo-mq'!$O$82</f>
        <v>312.7311</v>
      </c>
      <c r="L277" s="456"/>
    </row>
    <row r="278" customFormat="false" ht="6" hidden="false" customHeight="true" outlineLevel="0" collapsed="false">
      <c r="A278" s="443"/>
      <c r="B278" s="101"/>
      <c r="C278" s="101"/>
      <c r="D278" s="101"/>
      <c r="E278" s="101"/>
      <c r="F278" s="101"/>
      <c r="G278" s="101"/>
      <c r="H278" s="101"/>
      <c r="I278" s="101"/>
      <c r="J278" s="444"/>
      <c r="K278" s="154"/>
      <c r="L278" s="460"/>
      <c r="M278" s="318"/>
    </row>
    <row r="279" customFormat="false" ht="18" hidden="false" customHeight="true" outlineLevel="0" collapsed="false">
      <c r="A279" s="443"/>
      <c r="B279" s="101"/>
      <c r="C279" s="101"/>
      <c r="D279" s="101"/>
      <c r="E279" s="101"/>
      <c r="F279" s="101"/>
      <c r="G279" s="101"/>
      <c r="H279" s="461"/>
      <c r="I279" s="101"/>
      <c r="J279" s="444"/>
      <c r="K279" s="154"/>
      <c r="L279" s="460"/>
      <c r="M279" s="462"/>
    </row>
    <row r="280" customFormat="false" ht="6" hidden="false" customHeight="true" outlineLevel="0" collapsed="false">
      <c r="A280" s="443"/>
      <c r="B280" s="101"/>
      <c r="C280" s="101"/>
      <c r="D280" s="101"/>
      <c r="E280" s="101"/>
      <c r="F280" s="101"/>
      <c r="G280" s="101"/>
      <c r="H280" s="101"/>
      <c r="I280" s="101"/>
      <c r="J280" s="444"/>
      <c r="K280" s="154"/>
      <c r="L280" s="463"/>
      <c r="M280" s="318"/>
    </row>
    <row r="281" customFormat="false" ht="12.75" hidden="false" customHeight="true" outlineLevel="0" collapsed="false">
      <c r="A281" s="443" t="s">
        <v>312</v>
      </c>
      <c r="B281" s="464" t="s">
        <v>313</v>
      </c>
      <c r="C281" s="465"/>
      <c r="D281" s="465"/>
      <c r="E281" s="465"/>
      <c r="F281" s="465"/>
      <c r="G281" s="465"/>
      <c r="H281" s="465"/>
      <c r="I281" s="465"/>
      <c r="J281" s="466" t="s">
        <v>169</v>
      </c>
      <c r="K281" s="458" t="n">
        <f aca="false">K274*K277</f>
        <v>0</v>
      </c>
      <c r="L281" s="459"/>
      <c r="M281" s="318"/>
    </row>
    <row r="282" customFormat="false" ht="14.65" hidden="false" customHeight="true" outlineLevel="0" collapsed="false">
      <c r="A282" s="167"/>
      <c r="B282" s="142"/>
      <c r="C282" s="142"/>
      <c r="D282" s="142"/>
      <c r="E282" s="142"/>
      <c r="F282" s="142"/>
      <c r="G282" s="142"/>
      <c r="H282" s="142"/>
      <c r="I282" s="142"/>
      <c r="J282" s="142"/>
      <c r="K282" s="142"/>
      <c r="L282" s="379"/>
      <c r="M282" s="318"/>
    </row>
    <row r="283" customFormat="false" ht="5.1" hidden="false" customHeight="true" outlineLevel="0" collapsed="false">
      <c r="A283" s="167"/>
      <c r="B283" s="142"/>
      <c r="C283" s="142"/>
      <c r="D283" s="142"/>
      <c r="E283" s="142"/>
      <c r="F283" s="142"/>
      <c r="G283" s="142"/>
      <c r="H283" s="142"/>
      <c r="I283" s="142"/>
      <c r="J283" s="142"/>
      <c r="K283" s="142"/>
      <c r="L283" s="379"/>
      <c r="M283" s="318"/>
    </row>
    <row r="284" customFormat="false" ht="14.65" hidden="false" customHeight="true" outlineLevel="0" collapsed="false">
      <c r="A284" s="467" t="s">
        <v>314</v>
      </c>
      <c r="B284" s="467"/>
      <c r="C284" s="467"/>
      <c r="D284" s="467"/>
      <c r="E284" s="467"/>
      <c r="F284" s="467"/>
      <c r="G284" s="467"/>
      <c r="H284" s="467"/>
      <c r="I284" s="467"/>
      <c r="J284" s="467"/>
      <c r="K284" s="467"/>
      <c r="L284" s="467"/>
      <c r="M284" s="318"/>
    </row>
    <row r="285" customFormat="false" ht="5.1" hidden="false" customHeight="true" outlineLevel="0" collapsed="false">
      <c r="A285" s="167"/>
      <c r="B285" s="142"/>
      <c r="C285" s="142"/>
      <c r="D285" s="142"/>
      <c r="E285" s="142"/>
      <c r="F285" s="142"/>
      <c r="G285" s="142"/>
      <c r="H285" s="142"/>
      <c r="I285" s="142"/>
      <c r="J285" s="142"/>
      <c r="K285" s="142"/>
      <c r="L285" s="379"/>
      <c r="M285" s="318"/>
    </row>
    <row r="286" customFormat="false" ht="16.5" hidden="false" customHeight="true" outlineLevel="0" collapsed="false">
      <c r="A286" s="167"/>
      <c r="B286" s="352" t="s">
        <v>225</v>
      </c>
      <c r="C286" s="142"/>
      <c r="D286" s="383" t="s">
        <v>315</v>
      </c>
      <c r="E286" s="383"/>
      <c r="F286" s="388" t="s">
        <v>316</v>
      </c>
      <c r="G286" s="142"/>
      <c r="H286" s="142"/>
      <c r="I286" s="383" t="s">
        <v>317</v>
      </c>
      <c r="J286" s="383"/>
      <c r="K286" s="383"/>
      <c r="L286" s="379"/>
      <c r="M286" s="318"/>
    </row>
    <row r="287" customFormat="false" ht="11.25" hidden="false" customHeight="true" outlineLevel="0" collapsed="false">
      <c r="A287" s="167"/>
      <c r="B287" s="142"/>
      <c r="C287" s="142"/>
      <c r="D287" s="383"/>
      <c r="E287" s="383"/>
      <c r="F287" s="355"/>
      <c r="G287" s="142"/>
      <c r="H287" s="142"/>
      <c r="I287" s="383"/>
      <c r="J287" s="383"/>
      <c r="K287" s="383"/>
      <c r="L287" s="379"/>
      <c r="M287" s="318"/>
      <c r="N287" s="468" t="n">
        <f aca="false">SUM(E291:E301)</f>
        <v>0.07</v>
      </c>
      <c r="P287" s="468" t="n">
        <f aca="false">SUM(J289:J301)</f>
        <v>0.07</v>
      </c>
    </row>
    <row r="288" customFormat="false" ht="6" hidden="false" customHeight="true" outlineLevel="0" collapsed="false">
      <c r="A288" s="167"/>
      <c r="B288" s="142"/>
      <c r="C288" s="142"/>
      <c r="D288" s="383"/>
      <c r="E288" s="383"/>
      <c r="F288" s="355"/>
      <c r="G288" s="142"/>
      <c r="H288" s="142"/>
      <c r="I288" s="383"/>
      <c r="J288" s="383"/>
      <c r="K288" s="383"/>
      <c r="L288" s="379"/>
      <c r="M288" s="318"/>
    </row>
    <row r="289" customFormat="false" ht="13.5" hidden="false" customHeight="true" outlineLevel="0" collapsed="false">
      <c r="A289" s="167"/>
      <c r="B289" s="142"/>
      <c r="C289" s="142"/>
      <c r="D289" s="383"/>
      <c r="E289" s="383"/>
      <c r="F289" s="205" t="s">
        <v>318</v>
      </c>
      <c r="G289" s="403" t="str">
        <f aca="false">IF(K264&gt;60,"X","-")</f>
        <v>-</v>
      </c>
      <c r="H289" s="142"/>
      <c r="I289" s="142"/>
      <c r="J289" s="469"/>
      <c r="K289" s="383"/>
      <c r="L289" s="379"/>
      <c r="M289" s="318"/>
    </row>
    <row r="290" customFormat="false" ht="6" hidden="false" customHeight="true" outlineLevel="0" collapsed="false">
      <c r="A290" s="167"/>
      <c r="B290" s="142"/>
      <c r="C290" s="142"/>
      <c r="D290" s="142"/>
      <c r="E290" s="142"/>
      <c r="K290" s="142"/>
      <c r="L290" s="379"/>
      <c r="M290" s="318"/>
    </row>
    <row r="291" customFormat="false" ht="14.65" hidden="false" customHeight="true" outlineLevel="0" collapsed="false">
      <c r="A291" s="167"/>
      <c r="B291" s="295" t="s">
        <v>319</v>
      </c>
      <c r="C291" s="403" t="str">
        <f aca="false">IF(K262&gt;160,"X","-")</f>
        <v>-</v>
      </c>
      <c r="D291" s="142"/>
      <c r="E291" s="470" t="str">
        <f aca="false">IF($C$49="X"," ",IF(C291="X",N291,IF(C291="-"," ",0)))</f>
        <v> </v>
      </c>
      <c r="F291" s="205" t="s">
        <v>320</v>
      </c>
      <c r="G291" s="403" t="str">
        <f aca="false">IF(K264&gt;60,"-",IF(K264&gt;55,"X","-"))</f>
        <v>-</v>
      </c>
      <c r="H291" s="142"/>
      <c r="I291" s="142"/>
      <c r="J291" s="469" t="str">
        <f aca="false">O291</f>
        <v> </v>
      </c>
      <c r="L291" s="379"/>
      <c r="M291" s="471" t="n">
        <f aca="false">IF(E291=" ",0,IF(G291="x","9%",IF(G289="x","10%",0)))</f>
        <v>0</v>
      </c>
      <c r="N291" s="472" t="n">
        <v>0.09</v>
      </c>
      <c r="O291" s="473" t="str">
        <f aca="false">IF(E291&lt;&gt;" ",IF(K264&gt;60,P291,N291)," ")</f>
        <v> </v>
      </c>
      <c r="P291" s="472" t="n">
        <v>0.1</v>
      </c>
    </row>
    <row r="292" customFormat="false" ht="6" hidden="false" customHeight="true" outlineLevel="0" collapsed="false">
      <c r="A292" s="167"/>
      <c r="B292" s="295"/>
      <c r="C292" s="142"/>
      <c r="D292" s="142"/>
      <c r="E292" s="105"/>
      <c r="F292" s="205"/>
      <c r="G292" s="142"/>
      <c r="H292" s="142"/>
      <c r="I292" s="142"/>
      <c r="J292" s="156"/>
      <c r="L292" s="379"/>
      <c r="M292" s="474"/>
    </row>
    <row r="293" customFormat="false" ht="12.75" hidden="false" customHeight="true" outlineLevel="0" collapsed="false">
      <c r="A293" s="167"/>
      <c r="B293" s="295" t="s">
        <v>321</v>
      </c>
      <c r="C293" s="403" t="str">
        <f aca="false">IF(K262&gt;160,"-",IF(K262&lt;130,"-",IF(K262&lt;160,"X",0)))</f>
        <v>-</v>
      </c>
      <c r="D293" s="142"/>
      <c r="E293" s="470" t="str">
        <f aca="false">IF($C$49="X"," ",IF(C293="X",N293,IF(C293="-"," ",0)))</f>
        <v> </v>
      </c>
      <c r="F293" s="205" t="s">
        <v>322</v>
      </c>
      <c r="G293" s="403" t="str">
        <f aca="false">IF(K264&gt;55,"-",IF(K264&gt;50,"X","-"))</f>
        <v>-</v>
      </c>
      <c r="H293" s="142"/>
      <c r="I293" s="142"/>
      <c r="J293" s="469" t="str">
        <f aca="false">O293</f>
        <v> </v>
      </c>
      <c r="K293" s="475"/>
      <c r="L293" s="379"/>
      <c r="M293" s="471" t="n">
        <f aca="false">IF(E293=" ",0,IF(G291="x","9%",IF(E291="-","8%",0)))</f>
        <v>0</v>
      </c>
      <c r="N293" s="472" t="n">
        <v>0.08</v>
      </c>
      <c r="O293" s="425" t="str">
        <f aca="false">IF(E293&lt;&gt;" ",IF(K264&gt;55,P293,N293)," ")</f>
        <v> </v>
      </c>
      <c r="P293" s="472" t="n">
        <v>0.09</v>
      </c>
    </row>
    <row r="294" customFormat="false" ht="5.1" hidden="false" customHeight="true" outlineLevel="0" collapsed="false">
      <c r="A294" s="167"/>
      <c r="B294" s="295"/>
      <c r="C294" s="142"/>
      <c r="D294" s="142"/>
      <c r="E294" s="105"/>
      <c r="F294" s="205"/>
      <c r="G294" s="142"/>
      <c r="H294" s="142"/>
      <c r="I294" s="142"/>
      <c r="J294" s="156"/>
      <c r="K294" s="142"/>
      <c r="L294" s="379"/>
      <c r="M294" s="471"/>
    </row>
    <row r="295" customFormat="false" ht="14.65" hidden="false" customHeight="true" outlineLevel="0" collapsed="false">
      <c r="A295" s="167"/>
      <c r="B295" s="295" t="s">
        <v>323</v>
      </c>
      <c r="C295" s="403" t="str">
        <f aca="false">IF(K262&gt;130,"-",IF(K262&lt;110,"-",IF(K262&lt;130,"X",0)))</f>
        <v>-</v>
      </c>
      <c r="D295" s="142"/>
      <c r="E295" s="470" t="str">
        <f aca="false">IF($C$49="X"," ",IF(C295="X",N295,IF(C295="-"," ",0)))</f>
        <v> </v>
      </c>
      <c r="F295" s="205" t="s">
        <v>324</v>
      </c>
      <c r="G295" s="403" t="str">
        <f aca="false">IF(K264&gt;50,"-",IF(K264&gt;45,"X","-"))</f>
        <v>-</v>
      </c>
      <c r="H295" s="142"/>
      <c r="I295" s="142"/>
      <c r="J295" s="469" t="str">
        <f aca="false">O295</f>
        <v> </v>
      </c>
      <c r="K295" s="475"/>
      <c r="L295" s="379"/>
      <c r="M295" s="471" t="n">
        <f aca="false">IF(E295=" ",0,IF(G293="x","9%",IF(G291="x","9%",IF(E295="8%","8%",0))))</f>
        <v>0</v>
      </c>
      <c r="N295" s="472" t="n">
        <v>0.08</v>
      </c>
      <c r="O295" s="425" t="str">
        <f aca="false">IF(E295&lt;&gt;" ",IF(K264&gt;50,P295,N295)," ")</f>
        <v> </v>
      </c>
      <c r="P295" s="472" t="n">
        <v>0.09</v>
      </c>
    </row>
    <row r="296" customFormat="false" ht="5.1" hidden="false" customHeight="true" outlineLevel="0" collapsed="false">
      <c r="A296" s="167"/>
      <c r="B296" s="295"/>
      <c r="C296" s="142"/>
      <c r="D296" s="142"/>
      <c r="E296" s="105"/>
      <c r="F296" s="205"/>
      <c r="G296" s="142"/>
      <c r="H296" s="142"/>
      <c r="I296" s="142"/>
      <c r="J296" s="156"/>
      <c r="K296" s="142"/>
      <c r="L296" s="379"/>
      <c r="M296" s="471"/>
    </row>
    <row r="297" customFormat="false" ht="14.65" hidden="false" customHeight="true" outlineLevel="0" collapsed="false">
      <c r="A297" s="167"/>
      <c r="B297" s="295" t="s">
        <v>325</v>
      </c>
      <c r="C297" s="403" t="str">
        <f aca="false">IF(K262&gt;110,"-",IF(K262&lt;95,"-",IF(K262&lt;110,"X",0)))</f>
        <v>-</v>
      </c>
      <c r="D297" s="142"/>
      <c r="E297" s="470" t="str">
        <f aca="false">IF($C$49="X"," ",IF(C297="X",N297,IF(C297="-"," ",0)))</f>
        <v> </v>
      </c>
      <c r="F297" s="205" t="s">
        <v>326</v>
      </c>
      <c r="G297" s="403" t="str">
        <f aca="false">IF(K264&gt;45,"-",IF(K264&gt;40,"X","-"))</f>
        <v>-</v>
      </c>
      <c r="H297" s="142"/>
      <c r="I297" s="142"/>
      <c r="J297" s="469" t="str">
        <f aca="false">O297</f>
        <v> </v>
      </c>
      <c r="K297" s="475"/>
      <c r="L297" s="379"/>
      <c r="M297" s="471" t="n">
        <f aca="false">IF(E297=" ",0,IF(G295="x","8%",IF(G293="x","8%",IF(G291="x","8%",IF(E297="7%","7%",0)))))</f>
        <v>0</v>
      </c>
      <c r="N297" s="472" t="n">
        <v>0.07</v>
      </c>
      <c r="O297" s="425" t="str">
        <f aca="false">IF(E297&lt;&gt;" ",IF(K264&gt;45,P297,N297)," ")</f>
        <v> </v>
      </c>
      <c r="P297" s="472" t="n">
        <v>0.08</v>
      </c>
    </row>
    <row r="298" customFormat="false" ht="5.1" hidden="false" customHeight="true" outlineLevel="0" collapsed="false">
      <c r="A298" s="167"/>
      <c r="B298" s="295"/>
      <c r="C298" s="142"/>
      <c r="D298" s="142"/>
      <c r="E298" s="105"/>
      <c r="F298" s="205"/>
      <c r="G298" s="142"/>
      <c r="H298" s="142"/>
      <c r="I298" s="142"/>
      <c r="J298" s="156"/>
      <c r="K298" s="142"/>
      <c r="L298" s="379"/>
      <c r="M298" s="474"/>
    </row>
    <row r="299" customFormat="false" ht="14.65" hidden="false" customHeight="true" outlineLevel="0" collapsed="false">
      <c r="A299" s="167"/>
      <c r="B299" s="295" t="s">
        <v>327</v>
      </c>
      <c r="C299" s="403" t="str">
        <f aca="false">IF(K262&lt;95,"X","-")</f>
        <v>X</v>
      </c>
      <c r="D299" s="142"/>
      <c r="E299" s="469" t="n">
        <f aca="false">IF($C$49="X"," ",IF(C299="X",N299,IF(C299="-"," ",0)))</f>
        <v>0.07</v>
      </c>
      <c r="F299" s="205" t="s">
        <v>328</v>
      </c>
      <c r="G299" s="403" t="str">
        <f aca="false">IF(K264&lt;=40,"X","-")</f>
        <v>X</v>
      </c>
      <c r="H299" s="142"/>
      <c r="I299" s="142"/>
      <c r="J299" s="469" t="n">
        <f aca="false">O299</f>
        <v>0.07</v>
      </c>
      <c r="K299" s="475"/>
      <c r="L299" s="379"/>
      <c r="M299" s="471" t="n">
        <f aca="false">IF(E299=" ",0,IF(G297="x","8%",IF(G295="x","8%",IF(G293="x","8%",IF(G291="x","8%",IF(E299="7%","7%",0))))))</f>
        <v>0</v>
      </c>
      <c r="N299" s="472" t="n">
        <v>0.07</v>
      </c>
      <c r="O299" s="472" t="n">
        <f aca="false">IF(E299&lt;&gt;" ",IF(K264&gt;40,P299,N299)," ")</f>
        <v>0.07</v>
      </c>
      <c r="P299" s="472" t="n">
        <v>0.08</v>
      </c>
    </row>
    <row r="300" customFormat="false" ht="5.1" hidden="false" customHeight="true" outlineLevel="0" collapsed="false">
      <c r="A300" s="167"/>
      <c r="B300" s="142"/>
      <c r="C300" s="142"/>
      <c r="D300" s="142"/>
      <c r="E300" s="105"/>
      <c r="K300" s="142"/>
      <c r="L300" s="379"/>
      <c r="M300" s="474"/>
    </row>
    <row r="301" customFormat="false" ht="14.65" hidden="false" customHeight="true" outlineLevel="0" collapsed="false">
      <c r="A301" s="167"/>
      <c r="B301" s="295" t="s">
        <v>329</v>
      </c>
      <c r="C301" s="476"/>
      <c r="D301" s="142"/>
      <c r="E301" s="475" t="str">
        <f aca="false">IF(C301="X",N301," ")</f>
        <v> </v>
      </c>
      <c r="J301" s="477" t="str">
        <f aca="false">E301</f>
        <v> </v>
      </c>
      <c r="K301" s="475" t="s">
        <v>330</v>
      </c>
      <c r="L301" s="379"/>
      <c r="M301" s="471" t="n">
        <f aca="false">IF(J301=" ",0,IF(J301="10%",0.1,0))</f>
        <v>0</v>
      </c>
      <c r="N301" s="472" t="n">
        <v>0.1</v>
      </c>
    </row>
    <row r="302" customFormat="false" ht="9" hidden="false" customHeight="true" outlineLevel="0" collapsed="false">
      <c r="A302" s="167"/>
      <c r="B302" s="142"/>
      <c r="C302" s="142"/>
      <c r="D302" s="142"/>
      <c r="E302" s="142"/>
      <c r="F302" s="142"/>
      <c r="G302" s="142"/>
      <c r="H302" s="142"/>
      <c r="I302" s="142"/>
      <c r="J302" s="142"/>
      <c r="K302" s="142"/>
      <c r="L302" s="379"/>
      <c r="M302" s="471" t="n">
        <f aca="false">M291+M293+M295+M297+M299+M301</f>
        <v>0</v>
      </c>
    </row>
    <row r="303" customFormat="false" ht="6" hidden="false" customHeight="true" outlineLevel="0" collapsed="false">
      <c r="A303" s="167"/>
      <c r="B303" s="142"/>
      <c r="C303" s="142"/>
      <c r="D303" s="142"/>
      <c r="E303" s="142"/>
      <c r="F303" s="142"/>
      <c r="G303" s="142"/>
      <c r="H303" s="142"/>
      <c r="I303" s="142"/>
      <c r="J303" s="142"/>
      <c r="K303" s="142"/>
      <c r="L303" s="379"/>
      <c r="M303" s="318"/>
    </row>
    <row r="304" customFormat="false" ht="12.75" hidden="false" customHeight="true" outlineLevel="0" collapsed="false">
      <c r="A304" s="167"/>
      <c r="B304" s="142" t="s">
        <v>331</v>
      </c>
      <c r="C304" s="142"/>
      <c r="D304" s="142"/>
      <c r="E304" s="142"/>
      <c r="F304" s="142"/>
      <c r="G304" s="476"/>
      <c r="H304" s="142"/>
      <c r="I304" s="142"/>
      <c r="J304" s="142"/>
      <c r="K304" s="142"/>
      <c r="L304" s="379"/>
      <c r="M304" s="318"/>
      <c r="N304" s="425" t="n">
        <f aca="false">IF(G304="X",1,0)</f>
        <v>0</v>
      </c>
    </row>
    <row r="305" customFormat="false" ht="6" hidden="false" customHeight="true" outlineLevel="0" collapsed="false">
      <c r="A305" s="167"/>
      <c r="B305" s="142"/>
      <c r="C305" s="142"/>
      <c r="D305" s="142"/>
      <c r="E305" s="142"/>
      <c r="F305" s="142"/>
      <c r="G305" s="295"/>
      <c r="H305" s="142"/>
      <c r="I305" s="142"/>
      <c r="J305" s="142"/>
      <c r="K305" s="142"/>
      <c r="L305" s="379"/>
      <c r="M305" s="318"/>
    </row>
    <row r="306" customFormat="false" ht="14.65" hidden="false" customHeight="true" outlineLevel="0" collapsed="false">
      <c r="A306" s="167"/>
      <c r="B306" s="142" t="s">
        <v>332</v>
      </c>
      <c r="C306" s="142"/>
      <c r="D306" s="142"/>
      <c r="E306" s="142"/>
      <c r="F306" s="142"/>
      <c r="G306" s="476" t="s">
        <v>238</v>
      </c>
      <c r="H306" s="142"/>
      <c r="I306" s="142"/>
      <c r="J306" s="142"/>
      <c r="K306" s="142"/>
      <c r="L306" s="379"/>
      <c r="M306" s="318"/>
      <c r="N306" s="425" t="n">
        <f aca="false">IF(G306="X",1,0)</f>
        <v>0</v>
      </c>
    </row>
    <row r="307" customFormat="false" ht="5.1" hidden="false" customHeight="true" outlineLevel="0" collapsed="false">
      <c r="A307" s="167"/>
      <c r="B307" s="142"/>
      <c r="C307" s="142"/>
      <c r="D307" s="142"/>
      <c r="E307" s="142"/>
      <c r="F307" s="142"/>
      <c r="G307" s="295"/>
      <c r="H307" s="142"/>
      <c r="I307" s="142"/>
      <c r="J307" s="142"/>
      <c r="K307" s="142"/>
      <c r="L307" s="379"/>
      <c r="M307" s="318"/>
    </row>
    <row r="308" customFormat="false" ht="12.75" hidden="false" customHeight="true" outlineLevel="0" collapsed="false">
      <c r="A308" s="167"/>
      <c r="B308" s="142" t="s">
        <v>333</v>
      </c>
      <c r="C308" s="142"/>
      <c r="D308" s="142"/>
      <c r="E308" s="142"/>
      <c r="F308" s="142"/>
      <c r="G308" s="476"/>
      <c r="H308" s="142"/>
      <c r="I308" s="142"/>
      <c r="J308" s="142"/>
      <c r="K308" s="142"/>
      <c r="L308" s="379"/>
      <c r="M308" s="318"/>
      <c r="N308" s="425" t="n">
        <f aca="false">IF(G308="X",1,0)</f>
        <v>0</v>
      </c>
    </row>
    <row r="309" customFormat="false" ht="4.5" hidden="false" customHeight="true" outlineLevel="0" collapsed="false">
      <c r="A309" s="167"/>
      <c r="B309" s="142"/>
      <c r="C309" s="142"/>
      <c r="D309" s="142"/>
      <c r="E309" s="142"/>
      <c r="F309" s="142"/>
      <c r="G309" s="142"/>
      <c r="H309" s="142"/>
      <c r="I309" s="142"/>
      <c r="J309" s="142"/>
      <c r="K309" s="142"/>
      <c r="L309" s="379"/>
      <c r="M309" s="318"/>
    </row>
    <row r="310" customFormat="false" ht="15" hidden="false" customHeight="true" outlineLevel="0" collapsed="false">
      <c r="A310" s="167"/>
      <c r="B310" s="142" t="s">
        <v>334</v>
      </c>
      <c r="C310" s="142"/>
      <c r="D310" s="142"/>
      <c r="E310" s="142"/>
      <c r="F310" s="142"/>
      <c r="G310" s="142"/>
      <c r="H310" s="142"/>
      <c r="I310" s="142"/>
      <c r="J310" s="142"/>
      <c r="K310" s="478" t="n">
        <f aca="false">IF(N310&gt;0,O310-0.01,O310)</f>
        <v>0.07</v>
      </c>
      <c r="L310" s="478"/>
      <c r="M310" s="318"/>
      <c r="N310" s="425" t="n">
        <f aca="false">N304+N306+N308</f>
        <v>0</v>
      </c>
      <c r="O310" s="473" t="n">
        <f aca="false">IF(J301&lt;&gt;" ",J301,P287)</f>
        <v>0.07</v>
      </c>
    </row>
    <row r="311" customFormat="false" ht="4.5" hidden="false" customHeight="true" outlineLevel="0" collapsed="false">
      <c r="A311" s="167"/>
      <c r="B311" s="142"/>
      <c r="C311" s="142"/>
      <c r="D311" s="142"/>
      <c r="E311" s="142"/>
      <c r="F311" s="142"/>
      <c r="G311" s="142"/>
      <c r="H311" s="142"/>
      <c r="I311" s="142"/>
      <c r="J311" s="142"/>
      <c r="K311" s="142"/>
      <c r="L311" s="379"/>
      <c r="M311" s="318"/>
    </row>
    <row r="312" customFormat="false" ht="4.5" hidden="false" customHeight="true" outlineLevel="0" collapsed="false">
      <c r="A312" s="167"/>
      <c r="B312" s="142"/>
      <c r="C312" s="142"/>
      <c r="D312" s="142"/>
      <c r="E312" s="142"/>
      <c r="F312" s="142"/>
      <c r="G312" s="142"/>
      <c r="H312" s="142"/>
      <c r="I312" s="142"/>
      <c r="J312" s="142"/>
      <c r="K312" s="142"/>
      <c r="L312" s="379"/>
      <c r="M312" s="318"/>
    </row>
    <row r="313" customFormat="false" ht="12.75" hidden="false" customHeight="true" outlineLevel="0" collapsed="false">
      <c r="A313" s="467" t="s">
        <v>335</v>
      </c>
      <c r="B313" s="467"/>
      <c r="C313" s="467"/>
      <c r="D313" s="467"/>
      <c r="E313" s="467"/>
      <c r="F313" s="467"/>
      <c r="G313" s="467"/>
      <c r="H313" s="467"/>
      <c r="I313" s="467"/>
      <c r="J313" s="467"/>
      <c r="K313" s="467"/>
      <c r="L313" s="467"/>
      <c r="M313" s="318"/>
    </row>
    <row r="314" customFormat="false" ht="6" hidden="false" customHeight="true" outlineLevel="0" collapsed="false">
      <c r="A314" s="167"/>
      <c r="B314" s="142"/>
      <c r="C314" s="142"/>
      <c r="D314" s="142"/>
      <c r="E314" s="142"/>
      <c r="F314" s="142"/>
      <c r="G314" s="142"/>
      <c r="H314" s="142"/>
      <c r="I314" s="142"/>
      <c r="J314" s="142"/>
      <c r="K314" s="142"/>
      <c r="L314" s="379"/>
      <c r="M314" s="318"/>
    </row>
    <row r="315" customFormat="false" ht="18" hidden="false" customHeight="true" outlineLevel="0" collapsed="false">
      <c r="A315" s="167"/>
      <c r="B315" s="142" t="s">
        <v>336</v>
      </c>
      <c r="C315" s="142"/>
      <c r="D315" s="142"/>
      <c r="E315" s="142"/>
      <c r="F315" s="142"/>
      <c r="G315" s="142"/>
      <c r="H315" s="142" t="s">
        <v>169</v>
      </c>
      <c r="I315" s="479" t="n">
        <f aca="false">K281</f>
        <v>0</v>
      </c>
      <c r="J315" s="479"/>
      <c r="K315" s="479"/>
      <c r="L315" s="479"/>
      <c r="M315" s="318"/>
    </row>
    <row r="316" customFormat="false" ht="5.1" hidden="false" customHeight="true" outlineLevel="0" collapsed="false">
      <c r="A316" s="167"/>
      <c r="B316" s="142"/>
      <c r="C316" s="142"/>
      <c r="D316" s="142"/>
      <c r="E316" s="142"/>
      <c r="F316" s="142"/>
      <c r="G316" s="142"/>
      <c r="H316" s="142"/>
      <c r="I316" s="142"/>
      <c r="J316" s="142"/>
      <c r="K316" s="142"/>
      <c r="L316" s="379"/>
      <c r="M316" s="318"/>
    </row>
    <row r="317" customFormat="false" ht="18" hidden="false" customHeight="true" outlineLevel="0" collapsed="false">
      <c r="A317" s="167"/>
      <c r="B317" s="142" t="s">
        <v>337</v>
      </c>
      <c r="C317" s="142"/>
      <c r="D317" s="142"/>
      <c r="E317" s="142"/>
      <c r="F317" s="142"/>
      <c r="G317" s="142"/>
      <c r="H317" s="142" t="s">
        <v>338</v>
      </c>
      <c r="I317" s="480" t="n">
        <f aca="false">K310</f>
        <v>0.07</v>
      </c>
      <c r="J317" s="480"/>
      <c r="K317" s="480"/>
      <c r="L317" s="480"/>
      <c r="M317" s="318"/>
    </row>
    <row r="318" customFormat="false" ht="5.1" hidden="false" customHeight="true" outlineLevel="0" collapsed="false">
      <c r="A318" s="167"/>
      <c r="B318" s="142"/>
      <c r="C318" s="142"/>
      <c r="D318" s="142"/>
      <c r="E318" s="142"/>
      <c r="F318" s="142"/>
      <c r="G318" s="142"/>
      <c r="H318" s="142"/>
      <c r="I318" s="142"/>
      <c r="J318" s="142"/>
      <c r="K318" s="142"/>
      <c r="L318" s="379"/>
      <c r="M318" s="318"/>
    </row>
    <row r="319" customFormat="false" ht="18" hidden="false" customHeight="true" outlineLevel="0" collapsed="false">
      <c r="A319" s="481"/>
      <c r="B319" s="197" t="s">
        <v>339</v>
      </c>
      <c r="C319" s="197"/>
      <c r="D319" s="197"/>
      <c r="E319" s="197"/>
      <c r="F319" s="197"/>
      <c r="G319" s="197"/>
      <c r="H319" s="197" t="s">
        <v>169</v>
      </c>
      <c r="I319" s="482" t="n">
        <f aca="false">I315*I317</f>
        <v>0</v>
      </c>
      <c r="J319" s="482"/>
      <c r="K319" s="482"/>
      <c r="L319" s="482"/>
      <c r="M319" s="318"/>
    </row>
    <row r="320" s="112" customFormat="true" ht="28.35" hidden="false" customHeight="true" outlineLevel="0" collapsed="false">
      <c r="A320" s="483"/>
      <c r="B320" s="484"/>
      <c r="C320" s="484"/>
      <c r="D320" s="484"/>
      <c r="E320" s="484"/>
      <c r="F320" s="484"/>
      <c r="G320" s="484"/>
      <c r="H320" s="484"/>
      <c r="I320" s="484"/>
      <c r="J320" s="484"/>
      <c r="K320" s="484"/>
      <c r="L320" s="485"/>
      <c r="M320" s="430"/>
      <c r="N320" s="118"/>
      <c r="O320" s="118"/>
      <c r="P320" s="118"/>
      <c r="Q320" s="118"/>
      <c r="R320" s="118"/>
    </row>
    <row r="321" s="112" customFormat="true" ht="18.15" hidden="false" customHeight="true" outlineLevel="0" collapsed="false">
      <c r="A321" s="432" t="s">
        <v>161</v>
      </c>
      <c r="B321" s="433"/>
      <c r="C321" s="433"/>
      <c r="D321" s="433"/>
      <c r="E321" s="433"/>
      <c r="F321" s="434" t="s">
        <v>162</v>
      </c>
      <c r="G321" s="435"/>
      <c r="H321" s="435"/>
      <c r="I321" s="123"/>
      <c r="J321" s="436"/>
      <c r="K321" s="434" t="s">
        <v>297</v>
      </c>
      <c r="L321" s="437"/>
      <c r="M321" s="430"/>
      <c r="N321" s="118"/>
      <c r="O321" s="118"/>
      <c r="P321" s="118"/>
      <c r="Q321" s="118"/>
      <c r="R321" s="118"/>
    </row>
    <row r="322" s="112" customFormat="true" ht="9.75" hidden="false" customHeight="true" outlineLevel="0" collapsed="false">
      <c r="A322" s="438"/>
      <c r="B322" s="439"/>
      <c r="C322" s="440"/>
      <c r="D322" s="440"/>
      <c r="E322" s="123"/>
      <c r="F322" s="440"/>
      <c r="G322" s="434"/>
      <c r="H322" s="440"/>
      <c r="I322" s="123"/>
      <c r="J322" s="434"/>
      <c r="K322" s="441"/>
      <c r="L322" s="441"/>
      <c r="M322" s="430"/>
      <c r="N322" s="118"/>
      <c r="O322" s="118"/>
      <c r="P322" s="118"/>
      <c r="Q322" s="118"/>
      <c r="R322" s="118"/>
    </row>
    <row r="323" customFormat="false" ht="14.65" hidden="false" customHeight="true" outlineLevel="0" collapsed="false">
      <c r="A323" s="442" t="s">
        <v>298</v>
      </c>
      <c r="B323" s="442"/>
      <c r="C323" s="442"/>
      <c r="D323" s="442"/>
      <c r="E323" s="442"/>
      <c r="F323" s="442"/>
      <c r="G323" s="442"/>
      <c r="H323" s="442"/>
      <c r="I323" s="442"/>
      <c r="J323" s="442"/>
      <c r="K323" s="442"/>
      <c r="L323" s="442"/>
      <c r="M323" s="318"/>
    </row>
    <row r="324" customFormat="false" ht="9" hidden="false" customHeight="true" outlineLevel="0" collapsed="false">
      <c r="A324" s="443"/>
      <c r="B324" s="444"/>
      <c r="C324" s="101"/>
      <c r="D324" s="101"/>
      <c r="E324" s="101"/>
      <c r="F324" s="101"/>
      <c r="G324" s="101"/>
      <c r="H324" s="101"/>
      <c r="I324" s="101"/>
      <c r="J324" s="101"/>
      <c r="K324" s="101"/>
      <c r="L324" s="445"/>
    </row>
    <row r="325" customFormat="false" ht="12.75" hidden="false" customHeight="true" outlineLevel="0" collapsed="false">
      <c r="A325" s="443"/>
      <c r="B325" s="446" t="s">
        <v>299</v>
      </c>
      <c r="C325" s="101"/>
      <c r="D325" s="101"/>
      <c r="E325" s="101"/>
      <c r="F325" s="101"/>
      <c r="G325" s="101"/>
      <c r="H325" s="101"/>
      <c r="I325" s="101"/>
      <c r="J325" s="101"/>
      <c r="K325" s="447"/>
      <c r="L325" s="448"/>
    </row>
    <row r="326" customFormat="false" ht="9" hidden="false" customHeight="true" outlineLevel="0" collapsed="false">
      <c r="A326" s="443"/>
      <c r="B326" s="444"/>
      <c r="C326" s="101"/>
      <c r="D326" s="101"/>
      <c r="E326" s="101"/>
      <c r="F326" s="101"/>
      <c r="G326" s="101"/>
      <c r="H326" s="101"/>
      <c r="I326" s="101"/>
      <c r="J326" s="101"/>
      <c r="K326" s="449"/>
      <c r="L326" s="448"/>
    </row>
    <row r="327" customFormat="false" ht="12.75" hidden="false" customHeight="true" outlineLevel="0" collapsed="false">
      <c r="A327" s="443"/>
      <c r="B327" s="446" t="s">
        <v>300</v>
      </c>
      <c r="C327" s="101"/>
      <c r="D327" s="101"/>
      <c r="E327" s="101"/>
      <c r="F327" s="101"/>
      <c r="G327" s="101"/>
      <c r="H327" s="101"/>
      <c r="I327" s="101"/>
      <c r="J327" s="101"/>
      <c r="K327" s="447"/>
      <c r="L327" s="448"/>
    </row>
    <row r="328" customFormat="false" ht="6.75" hidden="false" customHeight="true" outlineLevel="0" collapsed="false">
      <c r="A328" s="443"/>
      <c r="B328" s="444"/>
      <c r="C328" s="101"/>
      <c r="D328" s="101"/>
      <c r="E328" s="101"/>
      <c r="F328" s="101"/>
      <c r="G328" s="101"/>
      <c r="H328" s="101"/>
      <c r="I328" s="101"/>
      <c r="J328" s="101"/>
      <c r="K328" s="101"/>
      <c r="L328" s="450"/>
    </row>
    <row r="329" customFormat="false" ht="12.75" hidden="false" customHeight="true" outlineLevel="0" collapsed="false">
      <c r="A329" s="443" t="s">
        <v>301</v>
      </c>
      <c r="B329" s="101" t="s">
        <v>302</v>
      </c>
      <c r="C329" s="101"/>
      <c r="D329" s="101"/>
      <c r="E329" s="101"/>
      <c r="F329" s="101"/>
      <c r="G329" s="101"/>
      <c r="H329" s="101"/>
      <c r="I329" s="101"/>
      <c r="J329" s="444" t="s">
        <v>205</v>
      </c>
      <c r="K329" s="447"/>
      <c r="L329" s="448"/>
      <c r="M329" s="318"/>
    </row>
    <row r="330" customFormat="false" ht="9" hidden="false" customHeight="true" outlineLevel="0" collapsed="false">
      <c r="A330" s="443"/>
      <c r="B330" s="101"/>
      <c r="C330" s="101"/>
      <c r="D330" s="101"/>
      <c r="E330" s="101"/>
      <c r="F330" s="101"/>
      <c r="G330" s="101"/>
      <c r="H330" s="101"/>
      <c r="I330" s="101"/>
      <c r="J330" s="444"/>
      <c r="K330" s="101"/>
      <c r="L330" s="450"/>
      <c r="M330" s="318"/>
    </row>
    <row r="331" customFormat="false" ht="12.75" hidden="false" customHeight="true" outlineLevel="0" collapsed="false">
      <c r="A331" s="443"/>
      <c r="B331" s="451" t="s">
        <v>303</v>
      </c>
      <c r="C331" s="451"/>
      <c r="D331" s="451"/>
      <c r="E331" s="101"/>
      <c r="F331" s="101"/>
      <c r="G331" s="101"/>
      <c r="H331" s="101"/>
      <c r="I331" s="101"/>
      <c r="J331" s="444"/>
      <c r="K331" s="101"/>
      <c r="L331" s="452"/>
      <c r="M331" s="318"/>
    </row>
    <row r="332" customFormat="false" ht="12.75" hidden="false" customHeight="true" outlineLevel="0" collapsed="false">
      <c r="A332" s="453" t="s">
        <v>304</v>
      </c>
      <c r="B332" s="451"/>
      <c r="C332" s="451"/>
      <c r="D332" s="451"/>
      <c r="E332" s="101" t="s">
        <v>205</v>
      </c>
      <c r="F332" s="454"/>
      <c r="G332" s="444" t="s">
        <v>305</v>
      </c>
      <c r="H332" s="101" t="n">
        <v>0.6</v>
      </c>
      <c r="I332" s="101" t="s">
        <v>306</v>
      </c>
      <c r="J332" s="444" t="s">
        <v>205</v>
      </c>
      <c r="K332" s="455" t="n">
        <f aca="false">IF(F332&gt;0,F332*H332,0)</f>
        <v>0</v>
      </c>
      <c r="L332" s="456"/>
      <c r="M332" s="318"/>
    </row>
    <row r="333" customFormat="false" ht="6" hidden="false" customHeight="true" outlineLevel="0" collapsed="false">
      <c r="A333" s="443"/>
      <c r="B333" s="101"/>
      <c r="C333" s="101"/>
      <c r="D333" s="101"/>
      <c r="E333" s="101"/>
      <c r="F333" s="101"/>
      <c r="G333" s="101"/>
      <c r="H333" s="101"/>
      <c r="I333" s="101"/>
      <c r="J333" s="444"/>
      <c r="K333" s="101"/>
      <c r="L333" s="450"/>
      <c r="M333" s="318"/>
    </row>
    <row r="334" customFormat="false" ht="14.65" hidden="false" customHeight="true" outlineLevel="0" collapsed="false">
      <c r="A334" s="443"/>
      <c r="B334" s="101"/>
      <c r="C334" s="101"/>
      <c r="D334" s="101"/>
      <c r="E334" s="101"/>
      <c r="F334" s="101"/>
      <c r="G334" s="101"/>
      <c r="H334" s="101"/>
      <c r="I334" s="101"/>
      <c r="J334" s="444"/>
      <c r="K334" s="101"/>
      <c r="L334" s="450"/>
      <c r="M334" s="318"/>
    </row>
    <row r="335" customFormat="false" ht="12.75" hidden="false" customHeight="true" outlineLevel="0" collapsed="false">
      <c r="A335" s="443"/>
      <c r="B335" s="157"/>
      <c r="C335" s="101"/>
      <c r="D335" s="101"/>
      <c r="E335" s="101"/>
      <c r="F335" s="101"/>
      <c r="G335" s="101"/>
      <c r="H335" s="101"/>
      <c r="I335" s="101"/>
      <c r="J335" s="444"/>
      <c r="K335" s="457"/>
      <c r="L335" s="448"/>
      <c r="M335" s="318"/>
    </row>
    <row r="336" customFormat="false" ht="8.25" hidden="false" customHeight="true" outlineLevel="0" collapsed="false">
      <c r="A336" s="443"/>
      <c r="B336" s="157"/>
      <c r="C336" s="101"/>
      <c r="D336" s="101"/>
      <c r="E336" s="101"/>
      <c r="F336" s="101"/>
      <c r="G336" s="101"/>
      <c r="H336" s="101"/>
      <c r="I336" s="101"/>
      <c r="J336" s="444"/>
      <c r="K336" s="101"/>
      <c r="L336" s="450"/>
      <c r="M336" s="318"/>
    </row>
    <row r="337" customFormat="false" ht="12.75" hidden="false" customHeight="true" outlineLevel="0" collapsed="false">
      <c r="A337" s="443" t="s">
        <v>307</v>
      </c>
      <c r="B337" s="101" t="s">
        <v>308</v>
      </c>
      <c r="C337" s="101"/>
      <c r="D337" s="101"/>
      <c r="E337" s="101"/>
      <c r="F337" s="101"/>
      <c r="G337" s="101"/>
      <c r="H337" s="101"/>
      <c r="I337" s="101"/>
      <c r="J337" s="444" t="s">
        <v>205</v>
      </c>
      <c r="K337" s="458" t="n">
        <f aca="false">K329+K332+K335</f>
        <v>0</v>
      </c>
      <c r="L337" s="459"/>
      <c r="M337" s="318"/>
    </row>
    <row r="338" customFormat="false" ht="8.25" hidden="false" customHeight="true" outlineLevel="0" collapsed="false">
      <c r="A338" s="443"/>
      <c r="B338" s="101"/>
      <c r="C338" s="101"/>
      <c r="D338" s="101"/>
      <c r="E338" s="101"/>
      <c r="F338" s="101"/>
      <c r="G338" s="101"/>
      <c r="H338" s="101"/>
      <c r="I338" s="101"/>
      <c r="J338" s="444"/>
      <c r="K338" s="101"/>
      <c r="L338" s="450"/>
      <c r="M338" s="318"/>
    </row>
    <row r="339" customFormat="false" ht="14.65" hidden="false" customHeight="true" outlineLevel="0" collapsed="false">
      <c r="A339" s="443" t="s">
        <v>309</v>
      </c>
      <c r="B339" s="101" t="s">
        <v>310</v>
      </c>
      <c r="C339" s="101"/>
      <c r="D339" s="101"/>
      <c r="E339" s="101"/>
      <c r="F339" s="101"/>
      <c r="G339" s="101"/>
      <c r="H339" s="101"/>
      <c r="I339" s="101"/>
      <c r="J339" s="444"/>
      <c r="K339" s="101"/>
      <c r="L339" s="450"/>
      <c r="M339" s="318"/>
    </row>
    <row r="340" customFormat="false" ht="12.75" hidden="false" customHeight="true" outlineLevel="0" collapsed="false">
      <c r="A340" s="443"/>
      <c r="B340" s="157" t="s">
        <v>311</v>
      </c>
      <c r="C340" s="101"/>
      <c r="D340" s="101"/>
      <c r="E340" s="101"/>
      <c r="F340" s="101"/>
      <c r="G340" s="101"/>
      <c r="H340" s="101"/>
      <c r="I340" s="101"/>
      <c r="J340" s="444" t="s">
        <v>206</v>
      </c>
      <c r="K340" s="455" t="n">
        <f aca="false">'costo-mq'!$O$82</f>
        <v>312.7311</v>
      </c>
      <c r="L340" s="456"/>
    </row>
    <row r="341" customFormat="false" ht="6" hidden="false" customHeight="true" outlineLevel="0" collapsed="false">
      <c r="A341" s="443"/>
      <c r="B341" s="101"/>
      <c r="C341" s="101"/>
      <c r="D341" s="101"/>
      <c r="E341" s="101"/>
      <c r="F341" s="101"/>
      <c r="G341" s="101"/>
      <c r="H341" s="101"/>
      <c r="I341" s="101"/>
      <c r="J341" s="444"/>
      <c r="K341" s="154"/>
      <c r="L341" s="460"/>
      <c r="M341" s="318"/>
    </row>
    <row r="342" customFormat="false" ht="18" hidden="false" customHeight="true" outlineLevel="0" collapsed="false">
      <c r="A342" s="443"/>
      <c r="B342" s="101"/>
      <c r="C342" s="101"/>
      <c r="D342" s="101"/>
      <c r="E342" s="101"/>
      <c r="F342" s="101"/>
      <c r="G342" s="101"/>
      <c r="H342" s="461"/>
      <c r="I342" s="101"/>
      <c r="J342" s="444"/>
      <c r="K342" s="154"/>
      <c r="L342" s="460"/>
      <c r="M342" s="462"/>
    </row>
    <row r="343" customFormat="false" ht="6" hidden="false" customHeight="true" outlineLevel="0" collapsed="false">
      <c r="A343" s="443"/>
      <c r="B343" s="101"/>
      <c r="C343" s="101"/>
      <c r="D343" s="101"/>
      <c r="E343" s="101"/>
      <c r="F343" s="101"/>
      <c r="G343" s="101"/>
      <c r="H343" s="101"/>
      <c r="I343" s="101"/>
      <c r="J343" s="444"/>
      <c r="K343" s="154"/>
      <c r="L343" s="463"/>
      <c r="M343" s="318"/>
    </row>
    <row r="344" customFormat="false" ht="12.75" hidden="false" customHeight="true" outlineLevel="0" collapsed="false">
      <c r="A344" s="443" t="s">
        <v>312</v>
      </c>
      <c r="B344" s="464" t="s">
        <v>313</v>
      </c>
      <c r="C344" s="465"/>
      <c r="D344" s="465"/>
      <c r="E344" s="465"/>
      <c r="F344" s="465"/>
      <c r="G344" s="465"/>
      <c r="H344" s="465"/>
      <c r="I344" s="465"/>
      <c r="J344" s="466" t="s">
        <v>169</v>
      </c>
      <c r="K344" s="458" t="n">
        <f aca="false">K337*K340</f>
        <v>0</v>
      </c>
      <c r="L344" s="459"/>
      <c r="M344" s="318"/>
    </row>
    <row r="345" customFormat="false" ht="14.65" hidden="false" customHeight="true" outlineLevel="0" collapsed="false">
      <c r="A345" s="167"/>
      <c r="B345" s="142"/>
      <c r="C345" s="142"/>
      <c r="D345" s="142"/>
      <c r="E345" s="142"/>
      <c r="F345" s="142"/>
      <c r="G345" s="142"/>
      <c r="H345" s="142"/>
      <c r="I345" s="142"/>
      <c r="J345" s="142"/>
      <c r="K345" s="142"/>
      <c r="L345" s="379"/>
      <c r="M345" s="318"/>
    </row>
    <row r="346" customFormat="false" ht="5.1" hidden="false" customHeight="true" outlineLevel="0" collapsed="false">
      <c r="A346" s="167"/>
      <c r="B346" s="142"/>
      <c r="C346" s="142"/>
      <c r="D346" s="142"/>
      <c r="E346" s="142"/>
      <c r="F346" s="142"/>
      <c r="G346" s="142"/>
      <c r="H346" s="142"/>
      <c r="I346" s="142"/>
      <c r="J346" s="142"/>
      <c r="K346" s="142"/>
      <c r="L346" s="379"/>
      <c r="M346" s="318"/>
    </row>
    <row r="347" customFormat="false" ht="14.65" hidden="false" customHeight="true" outlineLevel="0" collapsed="false">
      <c r="A347" s="467" t="s">
        <v>314</v>
      </c>
      <c r="B347" s="467"/>
      <c r="C347" s="467"/>
      <c r="D347" s="467"/>
      <c r="E347" s="467"/>
      <c r="F347" s="467"/>
      <c r="G347" s="467"/>
      <c r="H347" s="467"/>
      <c r="I347" s="467"/>
      <c r="J347" s="467"/>
      <c r="K347" s="467"/>
      <c r="L347" s="467"/>
      <c r="M347" s="318"/>
    </row>
    <row r="348" customFormat="false" ht="5.1" hidden="false" customHeight="true" outlineLevel="0" collapsed="false">
      <c r="A348" s="167"/>
      <c r="B348" s="142"/>
      <c r="C348" s="142"/>
      <c r="D348" s="142"/>
      <c r="E348" s="142"/>
      <c r="F348" s="142"/>
      <c r="G348" s="142"/>
      <c r="H348" s="142"/>
      <c r="I348" s="142"/>
      <c r="J348" s="142"/>
      <c r="K348" s="142"/>
      <c r="L348" s="379"/>
      <c r="M348" s="318"/>
    </row>
    <row r="349" customFormat="false" ht="16.5" hidden="false" customHeight="true" outlineLevel="0" collapsed="false">
      <c r="A349" s="167"/>
      <c r="B349" s="352" t="s">
        <v>225</v>
      </c>
      <c r="C349" s="142"/>
      <c r="D349" s="383" t="s">
        <v>315</v>
      </c>
      <c r="E349" s="383"/>
      <c r="F349" s="388" t="s">
        <v>316</v>
      </c>
      <c r="G349" s="142"/>
      <c r="H349" s="142"/>
      <c r="I349" s="383" t="s">
        <v>317</v>
      </c>
      <c r="J349" s="383"/>
      <c r="K349" s="383"/>
      <c r="L349" s="379"/>
      <c r="M349" s="318"/>
    </row>
    <row r="350" customFormat="false" ht="11.25" hidden="false" customHeight="true" outlineLevel="0" collapsed="false">
      <c r="A350" s="167"/>
      <c r="B350" s="142"/>
      <c r="C350" s="142"/>
      <c r="D350" s="383"/>
      <c r="E350" s="383"/>
      <c r="F350" s="355"/>
      <c r="G350" s="142"/>
      <c r="H350" s="142"/>
      <c r="I350" s="383"/>
      <c r="J350" s="383"/>
      <c r="K350" s="383"/>
      <c r="L350" s="379"/>
      <c r="M350" s="318"/>
      <c r="N350" s="468" t="n">
        <f aca="false">SUM(E354:E364)</f>
        <v>0.07</v>
      </c>
      <c r="P350" s="468" t="n">
        <f aca="false">SUM(J352:J364)</f>
        <v>0.07</v>
      </c>
    </row>
    <row r="351" customFormat="false" ht="6" hidden="false" customHeight="true" outlineLevel="0" collapsed="false">
      <c r="A351" s="167"/>
      <c r="B351" s="142"/>
      <c r="C351" s="142"/>
      <c r="D351" s="383"/>
      <c r="E351" s="383"/>
      <c r="F351" s="355"/>
      <c r="G351" s="142"/>
      <c r="H351" s="142"/>
      <c r="I351" s="383"/>
      <c r="J351" s="383"/>
      <c r="K351" s="383"/>
      <c r="L351" s="379"/>
      <c r="M351" s="318"/>
    </row>
    <row r="352" customFormat="false" ht="13.5" hidden="false" customHeight="true" outlineLevel="0" collapsed="false">
      <c r="A352" s="167"/>
      <c r="B352" s="142"/>
      <c r="C352" s="142"/>
      <c r="D352" s="383"/>
      <c r="E352" s="383"/>
      <c r="F352" s="205" t="s">
        <v>318</v>
      </c>
      <c r="G352" s="403" t="str">
        <f aca="false">IF(K327&gt;60,"X","-")</f>
        <v>-</v>
      </c>
      <c r="H352" s="142"/>
      <c r="I352" s="142"/>
      <c r="J352" s="469"/>
      <c r="K352" s="383"/>
      <c r="L352" s="379"/>
      <c r="M352" s="318"/>
    </row>
    <row r="353" customFormat="false" ht="6" hidden="false" customHeight="true" outlineLevel="0" collapsed="false">
      <c r="A353" s="167"/>
      <c r="B353" s="142"/>
      <c r="C353" s="142"/>
      <c r="D353" s="142"/>
      <c r="E353" s="142"/>
      <c r="K353" s="142"/>
      <c r="L353" s="379"/>
      <c r="M353" s="318"/>
    </row>
    <row r="354" customFormat="false" ht="14.65" hidden="false" customHeight="true" outlineLevel="0" collapsed="false">
      <c r="A354" s="167"/>
      <c r="B354" s="295" t="s">
        <v>319</v>
      </c>
      <c r="C354" s="403" t="str">
        <f aca="false">IF(K325&gt;160,"X","-")</f>
        <v>-</v>
      </c>
      <c r="D354" s="142"/>
      <c r="E354" s="470" t="str">
        <f aca="false">IF($C$49="X"," ",IF(C354="X",N354,IF(C354="-"," ",0)))</f>
        <v> </v>
      </c>
      <c r="F354" s="205" t="s">
        <v>320</v>
      </c>
      <c r="G354" s="403" t="str">
        <f aca="false">IF(K327&gt;60,"-",IF(K327&gt;55,"X","-"))</f>
        <v>-</v>
      </c>
      <c r="H354" s="142"/>
      <c r="I354" s="142"/>
      <c r="J354" s="469" t="str">
        <f aca="false">O354</f>
        <v> </v>
      </c>
      <c r="L354" s="379"/>
      <c r="M354" s="471" t="n">
        <f aca="false">IF(E354=" ",0,IF(G354="x","9%",IF(G352="x","10%",0)))</f>
        <v>0</v>
      </c>
      <c r="N354" s="472" t="n">
        <v>0.09</v>
      </c>
      <c r="O354" s="473" t="str">
        <f aca="false">IF(E354&lt;&gt;" ",IF(K327&gt;60,P354,N354)," ")</f>
        <v> </v>
      </c>
      <c r="P354" s="472" t="n">
        <v>0.1</v>
      </c>
    </row>
    <row r="355" customFormat="false" ht="6" hidden="false" customHeight="true" outlineLevel="0" collapsed="false">
      <c r="A355" s="167"/>
      <c r="B355" s="295"/>
      <c r="C355" s="142"/>
      <c r="D355" s="142"/>
      <c r="E355" s="105"/>
      <c r="F355" s="205"/>
      <c r="G355" s="142"/>
      <c r="H355" s="142"/>
      <c r="I355" s="142"/>
      <c r="J355" s="156"/>
      <c r="L355" s="379"/>
      <c r="M355" s="474"/>
    </row>
    <row r="356" customFormat="false" ht="12.75" hidden="false" customHeight="true" outlineLevel="0" collapsed="false">
      <c r="A356" s="167"/>
      <c r="B356" s="295" t="s">
        <v>321</v>
      </c>
      <c r="C356" s="403" t="str">
        <f aca="false">IF(K325&gt;160,"-",IF(K325&lt;130,"-",IF(K325&lt;160,"X",0)))</f>
        <v>-</v>
      </c>
      <c r="D356" s="142"/>
      <c r="E356" s="470" t="str">
        <f aca="false">IF($C$49="X"," ",IF(C356="X",N356,IF(C356="-"," ",0)))</f>
        <v> </v>
      </c>
      <c r="F356" s="205" t="s">
        <v>322</v>
      </c>
      <c r="G356" s="403" t="str">
        <f aca="false">IF(K327&gt;55,"-",IF(K327&gt;50,"X","-"))</f>
        <v>-</v>
      </c>
      <c r="H356" s="142"/>
      <c r="I356" s="142"/>
      <c r="J356" s="469" t="str">
        <f aca="false">O356</f>
        <v> </v>
      </c>
      <c r="K356" s="475"/>
      <c r="L356" s="379"/>
      <c r="M356" s="471" t="n">
        <f aca="false">IF(E356=" ",0,IF(G354="x","9%",IF(E354="-","8%",0)))</f>
        <v>0</v>
      </c>
      <c r="N356" s="472" t="n">
        <v>0.08</v>
      </c>
      <c r="O356" s="425" t="str">
        <f aca="false">IF(E356&lt;&gt;" ",IF(K327&gt;55,P356,N356)," ")</f>
        <v> </v>
      </c>
      <c r="P356" s="472" t="n">
        <v>0.09</v>
      </c>
    </row>
    <row r="357" customFormat="false" ht="5.1" hidden="false" customHeight="true" outlineLevel="0" collapsed="false">
      <c r="A357" s="167"/>
      <c r="B357" s="295"/>
      <c r="C357" s="142"/>
      <c r="D357" s="142"/>
      <c r="E357" s="105"/>
      <c r="F357" s="205"/>
      <c r="G357" s="142"/>
      <c r="H357" s="142"/>
      <c r="I357" s="142"/>
      <c r="J357" s="156"/>
      <c r="K357" s="142"/>
      <c r="L357" s="379"/>
      <c r="M357" s="471"/>
    </row>
    <row r="358" customFormat="false" ht="14.65" hidden="false" customHeight="true" outlineLevel="0" collapsed="false">
      <c r="A358" s="167"/>
      <c r="B358" s="295" t="s">
        <v>323</v>
      </c>
      <c r="C358" s="403" t="str">
        <f aca="false">IF(K325&gt;130,"-",IF(K325&lt;110,"-",IF(K325&lt;130,"X",0)))</f>
        <v>-</v>
      </c>
      <c r="D358" s="142"/>
      <c r="E358" s="470" t="str">
        <f aca="false">IF($C$49="X"," ",IF(C358="X",N358,IF(C358="-"," ",0)))</f>
        <v> </v>
      </c>
      <c r="F358" s="205" t="s">
        <v>324</v>
      </c>
      <c r="G358" s="403" t="str">
        <f aca="false">IF(K327&gt;50,"-",IF(K327&gt;45,"X","-"))</f>
        <v>-</v>
      </c>
      <c r="H358" s="142"/>
      <c r="I358" s="142"/>
      <c r="J358" s="469" t="str">
        <f aca="false">O358</f>
        <v> </v>
      </c>
      <c r="K358" s="475"/>
      <c r="L358" s="379"/>
      <c r="M358" s="471" t="n">
        <f aca="false">IF(E358=" ",0,IF(G356="x","9%",IF(G354="x","9%",IF(E358="8%","8%",0))))</f>
        <v>0</v>
      </c>
      <c r="N358" s="472" t="n">
        <v>0.08</v>
      </c>
      <c r="O358" s="425" t="str">
        <f aca="false">IF(E358&lt;&gt;" ",IF(K327&gt;50,P358,N358)," ")</f>
        <v> </v>
      </c>
      <c r="P358" s="472" t="n">
        <v>0.09</v>
      </c>
    </row>
    <row r="359" customFormat="false" ht="5.1" hidden="false" customHeight="true" outlineLevel="0" collapsed="false">
      <c r="A359" s="167"/>
      <c r="B359" s="295"/>
      <c r="C359" s="142"/>
      <c r="D359" s="142"/>
      <c r="E359" s="105"/>
      <c r="F359" s="205"/>
      <c r="G359" s="142"/>
      <c r="H359" s="142"/>
      <c r="I359" s="142"/>
      <c r="J359" s="156"/>
      <c r="K359" s="142"/>
      <c r="L359" s="379"/>
      <c r="M359" s="471"/>
    </row>
    <row r="360" customFormat="false" ht="14.65" hidden="false" customHeight="true" outlineLevel="0" collapsed="false">
      <c r="A360" s="167"/>
      <c r="B360" s="295" t="s">
        <v>325</v>
      </c>
      <c r="C360" s="403" t="str">
        <f aca="false">IF(K325&gt;110,"-",IF(K325&lt;95,"-",IF(K325&lt;110,"X",0)))</f>
        <v>-</v>
      </c>
      <c r="D360" s="142"/>
      <c r="E360" s="470" t="str">
        <f aca="false">IF($C$49="X"," ",IF(C360="X",N360,IF(C360="-"," ",0)))</f>
        <v> </v>
      </c>
      <c r="F360" s="205" t="s">
        <v>326</v>
      </c>
      <c r="G360" s="403" t="str">
        <f aca="false">IF(K327&gt;45,"-",IF(K327&gt;40,"X","-"))</f>
        <v>-</v>
      </c>
      <c r="H360" s="142"/>
      <c r="I360" s="142"/>
      <c r="J360" s="469" t="str">
        <f aca="false">O360</f>
        <v> </v>
      </c>
      <c r="K360" s="475"/>
      <c r="L360" s="379"/>
      <c r="M360" s="471" t="n">
        <f aca="false">IF(E360=" ",0,IF(G358="x","8%",IF(G356="x","8%",IF(G354="x","8%",IF(E360="7%","7%",0)))))</f>
        <v>0</v>
      </c>
      <c r="N360" s="472" t="n">
        <v>0.07</v>
      </c>
      <c r="O360" s="425" t="str">
        <f aca="false">IF(E360&lt;&gt;" ",IF(K327&gt;45,P360,N360)," ")</f>
        <v> </v>
      </c>
      <c r="P360" s="472" t="n">
        <v>0.08</v>
      </c>
    </row>
    <row r="361" customFormat="false" ht="5.1" hidden="false" customHeight="true" outlineLevel="0" collapsed="false">
      <c r="A361" s="167"/>
      <c r="B361" s="295"/>
      <c r="C361" s="142"/>
      <c r="D361" s="142"/>
      <c r="E361" s="105"/>
      <c r="F361" s="205"/>
      <c r="G361" s="142"/>
      <c r="H361" s="142"/>
      <c r="I361" s="142"/>
      <c r="J361" s="156"/>
      <c r="K361" s="142"/>
      <c r="L361" s="379"/>
      <c r="M361" s="474"/>
    </row>
    <row r="362" customFormat="false" ht="14.65" hidden="false" customHeight="true" outlineLevel="0" collapsed="false">
      <c r="A362" s="167"/>
      <c r="B362" s="295" t="s">
        <v>327</v>
      </c>
      <c r="C362" s="403" t="str">
        <f aca="false">IF(K325&lt;95,"X","-")</f>
        <v>X</v>
      </c>
      <c r="D362" s="142"/>
      <c r="E362" s="469" t="n">
        <f aca="false">IF($C$49="X"," ",IF(C362="X",N362,IF(C362="-"," ",0)))</f>
        <v>0.07</v>
      </c>
      <c r="F362" s="205" t="s">
        <v>328</v>
      </c>
      <c r="G362" s="403" t="str">
        <f aca="false">IF(K327&lt;=40,"X","-")</f>
        <v>X</v>
      </c>
      <c r="H362" s="142"/>
      <c r="I362" s="142"/>
      <c r="J362" s="469" t="n">
        <f aca="false">O362</f>
        <v>0.07</v>
      </c>
      <c r="K362" s="475"/>
      <c r="L362" s="379"/>
      <c r="M362" s="471" t="n">
        <f aca="false">IF(E362=" ",0,IF(G360="x","8%",IF(G358="x","8%",IF(G356="x","8%",IF(G354="x","8%",IF(E362="7%","7%",0))))))</f>
        <v>0</v>
      </c>
      <c r="N362" s="472" t="n">
        <v>0.07</v>
      </c>
      <c r="O362" s="472" t="n">
        <f aca="false">IF(E362&lt;&gt;" ",IF(K327&gt;40,P362,N362)," ")</f>
        <v>0.07</v>
      </c>
      <c r="P362" s="472" t="n">
        <v>0.08</v>
      </c>
    </row>
    <row r="363" customFormat="false" ht="5.1" hidden="false" customHeight="true" outlineLevel="0" collapsed="false">
      <c r="A363" s="167"/>
      <c r="B363" s="142"/>
      <c r="C363" s="142"/>
      <c r="D363" s="142"/>
      <c r="E363" s="105"/>
      <c r="K363" s="142"/>
      <c r="L363" s="379"/>
      <c r="M363" s="474"/>
    </row>
    <row r="364" customFormat="false" ht="14.65" hidden="false" customHeight="true" outlineLevel="0" collapsed="false">
      <c r="A364" s="167"/>
      <c r="B364" s="295" t="s">
        <v>329</v>
      </c>
      <c r="C364" s="476"/>
      <c r="D364" s="142"/>
      <c r="E364" s="475" t="str">
        <f aca="false">IF(C364="X",N364," ")</f>
        <v> </v>
      </c>
      <c r="J364" s="477" t="str">
        <f aca="false">E364</f>
        <v> </v>
      </c>
      <c r="K364" s="475" t="s">
        <v>330</v>
      </c>
      <c r="L364" s="379"/>
      <c r="M364" s="471" t="n">
        <f aca="false">IF(J364=" ",0,IF(J364="10%",0.1,0))</f>
        <v>0</v>
      </c>
      <c r="N364" s="472" t="n">
        <v>0.1</v>
      </c>
    </row>
    <row r="365" customFormat="false" ht="9" hidden="false" customHeight="true" outlineLevel="0" collapsed="false">
      <c r="A365" s="167"/>
      <c r="B365" s="142"/>
      <c r="C365" s="142"/>
      <c r="D365" s="142"/>
      <c r="E365" s="142"/>
      <c r="F365" s="142"/>
      <c r="G365" s="142"/>
      <c r="H365" s="142"/>
      <c r="I365" s="142"/>
      <c r="J365" s="142"/>
      <c r="K365" s="142"/>
      <c r="L365" s="379"/>
      <c r="M365" s="471" t="n">
        <f aca="false">M354+M356+M358+M360+M362+M364</f>
        <v>0</v>
      </c>
    </row>
    <row r="366" customFormat="false" ht="6" hidden="false" customHeight="true" outlineLevel="0" collapsed="false">
      <c r="A366" s="167"/>
      <c r="B366" s="142"/>
      <c r="C366" s="142"/>
      <c r="D366" s="142"/>
      <c r="E366" s="142"/>
      <c r="F366" s="142"/>
      <c r="G366" s="142"/>
      <c r="H366" s="142"/>
      <c r="I366" s="142"/>
      <c r="J366" s="142"/>
      <c r="K366" s="142"/>
      <c r="L366" s="379"/>
      <c r="M366" s="318"/>
    </row>
    <row r="367" customFormat="false" ht="12.75" hidden="false" customHeight="true" outlineLevel="0" collapsed="false">
      <c r="A367" s="167"/>
      <c r="B367" s="142" t="s">
        <v>331</v>
      </c>
      <c r="C367" s="142"/>
      <c r="D367" s="142"/>
      <c r="E367" s="142"/>
      <c r="F367" s="142"/>
      <c r="G367" s="476"/>
      <c r="H367" s="142"/>
      <c r="I367" s="142"/>
      <c r="J367" s="142"/>
      <c r="K367" s="142"/>
      <c r="L367" s="379"/>
      <c r="M367" s="318"/>
      <c r="N367" s="425" t="n">
        <f aca="false">IF(G367="X",1,0)</f>
        <v>0</v>
      </c>
    </row>
    <row r="368" customFormat="false" ht="6" hidden="false" customHeight="true" outlineLevel="0" collapsed="false">
      <c r="A368" s="167"/>
      <c r="B368" s="142"/>
      <c r="C368" s="142"/>
      <c r="D368" s="142"/>
      <c r="E368" s="142"/>
      <c r="F368" s="142"/>
      <c r="G368" s="295"/>
      <c r="H368" s="142"/>
      <c r="I368" s="142"/>
      <c r="J368" s="142"/>
      <c r="K368" s="142"/>
      <c r="L368" s="379"/>
      <c r="M368" s="318"/>
    </row>
    <row r="369" customFormat="false" ht="14.65" hidden="false" customHeight="true" outlineLevel="0" collapsed="false">
      <c r="A369" s="167"/>
      <c r="B369" s="142" t="s">
        <v>332</v>
      </c>
      <c r="C369" s="142"/>
      <c r="D369" s="142"/>
      <c r="E369" s="142"/>
      <c r="F369" s="142"/>
      <c r="G369" s="476" t="s">
        <v>238</v>
      </c>
      <c r="H369" s="142"/>
      <c r="I369" s="142"/>
      <c r="J369" s="142"/>
      <c r="K369" s="142"/>
      <c r="L369" s="379"/>
      <c r="M369" s="318"/>
      <c r="N369" s="425" t="n">
        <f aca="false">IF(G369="X",1,0)</f>
        <v>0</v>
      </c>
    </row>
    <row r="370" customFormat="false" ht="5.1" hidden="false" customHeight="true" outlineLevel="0" collapsed="false">
      <c r="A370" s="167"/>
      <c r="B370" s="142"/>
      <c r="C370" s="142"/>
      <c r="D370" s="142"/>
      <c r="E370" s="142"/>
      <c r="F370" s="142"/>
      <c r="G370" s="295"/>
      <c r="H370" s="142"/>
      <c r="I370" s="142"/>
      <c r="J370" s="142"/>
      <c r="K370" s="142"/>
      <c r="L370" s="379"/>
      <c r="M370" s="318"/>
    </row>
    <row r="371" customFormat="false" ht="12.75" hidden="false" customHeight="true" outlineLevel="0" collapsed="false">
      <c r="A371" s="167"/>
      <c r="B371" s="142" t="s">
        <v>333</v>
      </c>
      <c r="C371" s="142"/>
      <c r="D371" s="142"/>
      <c r="E371" s="142"/>
      <c r="F371" s="142"/>
      <c r="G371" s="476"/>
      <c r="H371" s="142"/>
      <c r="I371" s="142"/>
      <c r="J371" s="142"/>
      <c r="K371" s="142"/>
      <c r="L371" s="379"/>
      <c r="M371" s="318"/>
      <c r="N371" s="425" t="n">
        <f aca="false">IF(G371="X",1,0)</f>
        <v>0</v>
      </c>
    </row>
    <row r="372" customFormat="false" ht="4.5" hidden="false" customHeight="true" outlineLevel="0" collapsed="false">
      <c r="A372" s="167"/>
      <c r="B372" s="142"/>
      <c r="C372" s="142"/>
      <c r="D372" s="142"/>
      <c r="E372" s="142"/>
      <c r="F372" s="142"/>
      <c r="G372" s="142"/>
      <c r="H372" s="142"/>
      <c r="I372" s="142"/>
      <c r="J372" s="142"/>
      <c r="K372" s="142"/>
      <c r="L372" s="379"/>
      <c r="M372" s="318"/>
    </row>
    <row r="373" customFormat="false" ht="15" hidden="false" customHeight="true" outlineLevel="0" collapsed="false">
      <c r="A373" s="167"/>
      <c r="B373" s="142" t="s">
        <v>334</v>
      </c>
      <c r="C373" s="142"/>
      <c r="D373" s="142"/>
      <c r="E373" s="142"/>
      <c r="F373" s="142"/>
      <c r="G373" s="142"/>
      <c r="H373" s="142"/>
      <c r="I373" s="142"/>
      <c r="J373" s="142"/>
      <c r="K373" s="478" t="n">
        <f aca="false">IF(N373&gt;0,O373-0.01,O373)</f>
        <v>0.07</v>
      </c>
      <c r="L373" s="478"/>
      <c r="M373" s="318"/>
      <c r="N373" s="425" t="n">
        <f aca="false">N367+N369+N371</f>
        <v>0</v>
      </c>
      <c r="O373" s="473" t="n">
        <f aca="false">IF(J364&lt;&gt;" ",J364,P350)</f>
        <v>0.07</v>
      </c>
    </row>
    <row r="374" customFormat="false" ht="4.5" hidden="false" customHeight="true" outlineLevel="0" collapsed="false">
      <c r="A374" s="167"/>
      <c r="B374" s="142"/>
      <c r="C374" s="142"/>
      <c r="D374" s="142"/>
      <c r="E374" s="142"/>
      <c r="F374" s="142"/>
      <c r="G374" s="142"/>
      <c r="H374" s="142"/>
      <c r="I374" s="142"/>
      <c r="J374" s="142"/>
      <c r="K374" s="142"/>
      <c r="L374" s="379"/>
      <c r="M374" s="318"/>
    </row>
    <row r="375" customFormat="false" ht="4.5" hidden="false" customHeight="true" outlineLevel="0" collapsed="false">
      <c r="A375" s="167"/>
      <c r="B375" s="142"/>
      <c r="C375" s="142"/>
      <c r="D375" s="142"/>
      <c r="E375" s="142"/>
      <c r="F375" s="142"/>
      <c r="G375" s="142"/>
      <c r="H375" s="142"/>
      <c r="I375" s="142"/>
      <c r="J375" s="142"/>
      <c r="K375" s="142"/>
      <c r="L375" s="379"/>
      <c r="M375" s="318"/>
    </row>
    <row r="376" customFormat="false" ht="12.75" hidden="false" customHeight="true" outlineLevel="0" collapsed="false">
      <c r="A376" s="467" t="s">
        <v>335</v>
      </c>
      <c r="B376" s="467"/>
      <c r="C376" s="467"/>
      <c r="D376" s="467"/>
      <c r="E376" s="467"/>
      <c r="F376" s="467"/>
      <c r="G376" s="467"/>
      <c r="H376" s="467"/>
      <c r="I376" s="467"/>
      <c r="J376" s="467"/>
      <c r="K376" s="467"/>
      <c r="L376" s="467"/>
      <c r="M376" s="318"/>
    </row>
    <row r="377" customFormat="false" ht="6" hidden="false" customHeight="true" outlineLevel="0" collapsed="false">
      <c r="A377" s="167"/>
      <c r="B377" s="142"/>
      <c r="C377" s="142"/>
      <c r="D377" s="142"/>
      <c r="E377" s="142"/>
      <c r="F377" s="142"/>
      <c r="G377" s="142"/>
      <c r="H377" s="142"/>
      <c r="I377" s="142"/>
      <c r="J377" s="142"/>
      <c r="K377" s="142"/>
      <c r="L377" s="379"/>
      <c r="M377" s="318"/>
    </row>
    <row r="378" customFormat="false" ht="18" hidden="false" customHeight="true" outlineLevel="0" collapsed="false">
      <c r="A378" s="167"/>
      <c r="B378" s="142" t="s">
        <v>336</v>
      </c>
      <c r="C378" s="142"/>
      <c r="D378" s="142"/>
      <c r="E378" s="142"/>
      <c r="F378" s="142"/>
      <c r="G378" s="142"/>
      <c r="H378" s="142" t="s">
        <v>169</v>
      </c>
      <c r="I378" s="479" t="n">
        <f aca="false">K344</f>
        <v>0</v>
      </c>
      <c r="J378" s="479"/>
      <c r="K378" s="479"/>
      <c r="L378" s="479"/>
      <c r="M378" s="318"/>
    </row>
    <row r="379" customFormat="false" ht="5.1" hidden="false" customHeight="true" outlineLevel="0" collapsed="false">
      <c r="A379" s="167"/>
      <c r="B379" s="142"/>
      <c r="C379" s="142"/>
      <c r="D379" s="142"/>
      <c r="E379" s="142"/>
      <c r="F379" s="142"/>
      <c r="G379" s="142"/>
      <c r="H379" s="142"/>
      <c r="I379" s="142"/>
      <c r="J379" s="142"/>
      <c r="K379" s="142"/>
      <c r="L379" s="379"/>
      <c r="M379" s="318"/>
    </row>
    <row r="380" customFormat="false" ht="18" hidden="false" customHeight="true" outlineLevel="0" collapsed="false">
      <c r="A380" s="167"/>
      <c r="B380" s="142" t="s">
        <v>337</v>
      </c>
      <c r="C380" s="142"/>
      <c r="D380" s="142"/>
      <c r="E380" s="142"/>
      <c r="F380" s="142"/>
      <c r="G380" s="142"/>
      <c r="H380" s="142" t="s">
        <v>338</v>
      </c>
      <c r="I380" s="480" t="n">
        <f aca="false">K373</f>
        <v>0.07</v>
      </c>
      <c r="J380" s="480"/>
      <c r="K380" s="480"/>
      <c r="L380" s="480"/>
      <c r="M380" s="318"/>
    </row>
    <row r="381" customFormat="false" ht="5.1" hidden="false" customHeight="true" outlineLevel="0" collapsed="false">
      <c r="A381" s="167"/>
      <c r="B381" s="142"/>
      <c r="C381" s="142"/>
      <c r="D381" s="142"/>
      <c r="E381" s="142"/>
      <c r="F381" s="142"/>
      <c r="G381" s="142"/>
      <c r="H381" s="142"/>
      <c r="I381" s="142"/>
      <c r="J381" s="142"/>
      <c r="K381" s="142"/>
      <c r="L381" s="379"/>
      <c r="M381" s="318"/>
    </row>
    <row r="382" customFormat="false" ht="18" hidden="false" customHeight="true" outlineLevel="0" collapsed="false">
      <c r="A382" s="481"/>
      <c r="B382" s="197" t="s">
        <v>339</v>
      </c>
      <c r="C382" s="197"/>
      <c r="D382" s="197"/>
      <c r="E382" s="197"/>
      <c r="F382" s="197"/>
      <c r="G382" s="197"/>
      <c r="H382" s="197" t="s">
        <v>169</v>
      </c>
      <c r="I382" s="482" t="n">
        <f aca="false">I378*I380</f>
        <v>0</v>
      </c>
      <c r="J382" s="482"/>
      <c r="K382" s="482"/>
      <c r="L382" s="482"/>
      <c r="M382" s="318"/>
    </row>
    <row r="383" s="112" customFormat="true" ht="28.35" hidden="false" customHeight="true" outlineLevel="0" collapsed="false">
      <c r="A383" s="483"/>
      <c r="B383" s="484"/>
      <c r="C383" s="484"/>
      <c r="D383" s="484"/>
      <c r="E383" s="484"/>
      <c r="F383" s="484"/>
      <c r="G383" s="484"/>
      <c r="H383" s="484"/>
      <c r="I383" s="484"/>
      <c r="J383" s="484"/>
      <c r="K383" s="484"/>
      <c r="L383" s="485"/>
      <c r="M383" s="430"/>
      <c r="N383" s="118"/>
      <c r="O383" s="118"/>
      <c r="P383" s="118"/>
      <c r="Q383" s="118"/>
      <c r="R383" s="118"/>
    </row>
    <row r="384" s="112" customFormat="true" ht="18.15" hidden="false" customHeight="true" outlineLevel="0" collapsed="false">
      <c r="A384" s="432" t="s">
        <v>161</v>
      </c>
      <c r="B384" s="433"/>
      <c r="C384" s="433"/>
      <c r="D384" s="433"/>
      <c r="E384" s="433"/>
      <c r="F384" s="434" t="s">
        <v>162</v>
      </c>
      <c r="G384" s="435"/>
      <c r="H384" s="435"/>
      <c r="I384" s="123"/>
      <c r="J384" s="436"/>
      <c r="K384" s="434" t="s">
        <v>297</v>
      </c>
      <c r="L384" s="437"/>
      <c r="M384" s="430"/>
      <c r="N384" s="118"/>
      <c r="O384" s="118"/>
      <c r="P384" s="118"/>
      <c r="Q384" s="118"/>
      <c r="R384" s="118"/>
    </row>
    <row r="385" s="112" customFormat="true" ht="9.75" hidden="false" customHeight="true" outlineLevel="0" collapsed="false">
      <c r="A385" s="438"/>
      <c r="B385" s="439"/>
      <c r="C385" s="440"/>
      <c r="D385" s="440"/>
      <c r="E385" s="123"/>
      <c r="F385" s="440"/>
      <c r="G385" s="434"/>
      <c r="H385" s="440"/>
      <c r="I385" s="123"/>
      <c r="J385" s="434"/>
      <c r="K385" s="441"/>
      <c r="L385" s="441"/>
      <c r="M385" s="430"/>
      <c r="N385" s="118"/>
      <c r="O385" s="118"/>
      <c r="P385" s="118"/>
      <c r="Q385" s="118"/>
      <c r="R385" s="118"/>
    </row>
    <row r="386" customFormat="false" ht="14.65" hidden="false" customHeight="true" outlineLevel="0" collapsed="false">
      <c r="A386" s="442" t="s">
        <v>298</v>
      </c>
      <c r="B386" s="442"/>
      <c r="C386" s="442"/>
      <c r="D386" s="442"/>
      <c r="E386" s="442"/>
      <c r="F386" s="442"/>
      <c r="G386" s="442"/>
      <c r="H386" s="442"/>
      <c r="I386" s="442"/>
      <c r="J386" s="442"/>
      <c r="K386" s="442"/>
      <c r="L386" s="442"/>
      <c r="M386" s="318"/>
    </row>
    <row r="387" customFormat="false" ht="9" hidden="false" customHeight="true" outlineLevel="0" collapsed="false">
      <c r="A387" s="443"/>
      <c r="B387" s="444"/>
      <c r="C387" s="101"/>
      <c r="D387" s="101"/>
      <c r="E387" s="101"/>
      <c r="F387" s="101"/>
      <c r="G387" s="101"/>
      <c r="H387" s="101"/>
      <c r="I387" s="101"/>
      <c r="J387" s="101"/>
      <c r="K387" s="101"/>
      <c r="L387" s="445"/>
    </row>
    <row r="388" customFormat="false" ht="12.75" hidden="false" customHeight="true" outlineLevel="0" collapsed="false">
      <c r="A388" s="443"/>
      <c r="B388" s="446" t="s">
        <v>299</v>
      </c>
      <c r="C388" s="101"/>
      <c r="D388" s="101"/>
      <c r="E388" s="101"/>
      <c r="F388" s="101"/>
      <c r="G388" s="101"/>
      <c r="H388" s="101"/>
      <c r="I388" s="101"/>
      <c r="J388" s="101"/>
      <c r="K388" s="447"/>
      <c r="L388" s="448"/>
    </row>
    <row r="389" customFormat="false" ht="9" hidden="false" customHeight="true" outlineLevel="0" collapsed="false">
      <c r="A389" s="443"/>
      <c r="B389" s="444"/>
      <c r="C389" s="101"/>
      <c r="D389" s="101"/>
      <c r="E389" s="101"/>
      <c r="F389" s="101"/>
      <c r="G389" s="101"/>
      <c r="H389" s="101"/>
      <c r="I389" s="101"/>
      <c r="J389" s="101"/>
      <c r="K389" s="449"/>
      <c r="L389" s="448"/>
    </row>
    <row r="390" customFormat="false" ht="12.75" hidden="false" customHeight="true" outlineLevel="0" collapsed="false">
      <c r="A390" s="443"/>
      <c r="B390" s="446" t="s">
        <v>300</v>
      </c>
      <c r="C390" s="101"/>
      <c r="D390" s="101"/>
      <c r="E390" s="101"/>
      <c r="F390" s="101"/>
      <c r="G390" s="101"/>
      <c r="H390" s="101"/>
      <c r="I390" s="101"/>
      <c r="J390" s="101"/>
      <c r="K390" s="447"/>
      <c r="L390" s="448"/>
    </row>
    <row r="391" customFormat="false" ht="6.75" hidden="false" customHeight="true" outlineLevel="0" collapsed="false">
      <c r="A391" s="443"/>
      <c r="B391" s="444"/>
      <c r="C391" s="101"/>
      <c r="D391" s="101"/>
      <c r="E391" s="101"/>
      <c r="F391" s="101"/>
      <c r="G391" s="101"/>
      <c r="H391" s="101"/>
      <c r="I391" s="101"/>
      <c r="J391" s="101"/>
      <c r="K391" s="101"/>
      <c r="L391" s="450"/>
    </row>
    <row r="392" customFormat="false" ht="12.75" hidden="false" customHeight="true" outlineLevel="0" collapsed="false">
      <c r="A392" s="443" t="s">
        <v>301</v>
      </c>
      <c r="B392" s="101" t="s">
        <v>302</v>
      </c>
      <c r="C392" s="101"/>
      <c r="D392" s="101"/>
      <c r="E392" s="101"/>
      <c r="F392" s="101"/>
      <c r="G392" s="101"/>
      <c r="H392" s="101"/>
      <c r="I392" s="101"/>
      <c r="J392" s="444" t="s">
        <v>205</v>
      </c>
      <c r="K392" s="447"/>
      <c r="L392" s="448"/>
      <c r="M392" s="318"/>
    </row>
    <row r="393" customFormat="false" ht="9" hidden="false" customHeight="true" outlineLevel="0" collapsed="false">
      <c r="A393" s="443"/>
      <c r="B393" s="101"/>
      <c r="C393" s="101"/>
      <c r="D393" s="101"/>
      <c r="E393" s="101"/>
      <c r="F393" s="101"/>
      <c r="G393" s="101"/>
      <c r="H393" s="101"/>
      <c r="I393" s="101"/>
      <c r="J393" s="444"/>
      <c r="K393" s="101"/>
      <c r="L393" s="450"/>
      <c r="M393" s="318"/>
    </row>
    <row r="394" customFormat="false" ht="12.75" hidden="false" customHeight="true" outlineLevel="0" collapsed="false">
      <c r="A394" s="443"/>
      <c r="B394" s="451" t="s">
        <v>303</v>
      </c>
      <c r="C394" s="451"/>
      <c r="D394" s="451"/>
      <c r="E394" s="101"/>
      <c r="F394" s="101"/>
      <c r="G394" s="101"/>
      <c r="H394" s="101"/>
      <c r="I394" s="101"/>
      <c r="J394" s="444"/>
      <c r="K394" s="101"/>
      <c r="L394" s="452"/>
      <c r="M394" s="318"/>
    </row>
    <row r="395" customFormat="false" ht="12.75" hidden="false" customHeight="true" outlineLevel="0" collapsed="false">
      <c r="A395" s="453" t="s">
        <v>304</v>
      </c>
      <c r="B395" s="451"/>
      <c r="C395" s="451"/>
      <c r="D395" s="451"/>
      <c r="E395" s="101" t="s">
        <v>205</v>
      </c>
      <c r="F395" s="454"/>
      <c r="G395" s="444" t="s">
        <v>305</v>
      </c>
      <c r="H395" s="101" t="n">
        <v>0.6</v>
      </c>
      <c r="I395" s="101" t="s">
        <v>306</v>
      </c>
      <c r="J395" s="444" t="s">
        <v>205</v>
      </c>
      <c r="K395" s="455" t="n">
        <f aca="false">IF(F395&gt;0,F395*H395,0)</f>
        <v>0</v>
      </c>
      <c r="L395" s="456"/>
      <c r="M395" s="318"/>
    </row>
    <row r="396" customFormat="false" ht="6" hidden="false" customHeight="true" outlineLevel="0" collapsed="false">
      <c r="A396" s="443"/>
      <c r="B396" s="101"/>
      <c r="C396" s="101"/>
      <c r="D396" s="101"/>
      <c r="E396" s="101"/>
      <c r="F396" s="101"/>
      <c r="G396" s="101"/>
      <c r="H396" s="101"/>
      <c r="I396" s="101"/>
      <c r="J396" s="444"/>
      <c r="K396" s="101"/>
      <c r="L396" s="450"/>
      <c r="M396" s="318"/>
    </row>
    <row r="397" customFormat="false" ht="14.65" hidden="false" customHeight="true" outlineLevel="0" collapsed="false">
      <c r="A397" s="443"/>
      <c r="B397" s="101"/>
      <c r="C397" s="101"/>
      <c r="D397" s="101"/>
      <c r="E397" s="101"/>
      <c r="F397" s="101"/>
      <c r="G397" s="101"/>
      <c r="H397" s="101"/>
      <c r="I397" s="101"/>
      <c r="J397" s="444"/>
      <c r="K397" s="101"/>
      <c r="L397" s="450"/>
      <c r="M397" s="318"/>
    </row>
    <row r="398" customFormat="false" ht="12.75" hidden="false" customHeight="true" outlineLevel="0" collapsed="false">
      <c r="A398" s="443"/>
      <c r="B398" s="157"/>
      <c r="C398" s="101"/>
      <c r="D398" s="101"/>
      <c r="E398" s="101"/>
      <c r="F398" s="101"/>
      <c r="G398" s="101"/>
      <c r="H398" s="101"/>
      <c r="I398" s="101"/>
      <c r="J398" s="444"/>
      <c r="K398" s="457"/>
      <c r="L398" s="448"/>
      <c r="M398" s="318"/>
    </row>
    <row r="399" customFormat="false" ht="8.25" hidden="false" customHeight="true" outlineLevel="0" collapsed="false">
      <c r="A399" s="443"/>
      <c r="B399" s="157"/>
      <c r="C399" s="101"/>
      <c r="D399" s="101"/>
      <c r="E399" s="101"/>
      <c r="F399" s="101"/>
      <c r="G399" s="101"/>
      <c r="H399" s="101"/>
      <c r="I399" s="101"/>
      <c r="J399" s="444"/>
      <c r="K399" s="101"/>
      <c r="L399" s="450"/>
      <c r="M399" s="318"/>
    </row>
    <row r="400" customFormat="false" ht="12.75" hidden="false" customHeight="true" outlineLevel="0" collapsed="false">
      <c r="A400" s="443" t="s">
        <v>307</v>
      </c>
      <c r="B400" s="101" t="s">
        <v>308</v>
      </c>
      <c r="C400" s="101"/>
      <c r="D400" s="101"/>
      <c r="E400" s="101"/>
      <c r="F400" s="101"/>
      <c r="G400" s="101"/>
      <c r="H400" s="101"/>
      <c r="I400" s="101"/>
      <c r="J400" s="444" t="s">
        <v>205</v>
      </c>
      <c r="K400" s="458" t="n">
        <f aca="false">K392+K395+K398</f>
        <v>0</v>
      </c>
      <c r="L400" s="459"/>
      <c r="M400" s="318"/>
    </row>
    <row r="401" customFormat="false" ht="8.25" hidden="false" customHeight="true" outlineLevel="0" collapsed="false">
      <c r="A401" s="443"/>
      <c r="B401" s="101"/>
      <c r="C401" s="101"/>
      <c r="D401" s="101"/>
      <c r="E401" s="101"/>
      <c r="F401" s="101"/>
      <c r="G401" s="101"/>
      <c r="H401" s="101"/>
      <c r="I401" s="101"/>
      <c r="J401" s="444"/>
      <c r="K401" s="101"/>
      <c r="L401" s="450"/>
      <c r="M401" s="318"/>
    </row>
    <row r="402" customFormat="false" ht="14.65" hidden="false" customHeight="true" outlineLevel="0" collapsed="false">
      <c r="A402" s="443" t="s">
        <v>309</v>
      </c>
      <c r="B402" s="101" t="s">
        <v>310</v>
      </c>
      <c r="C402" s="101"/>
      <c r="D402" s="101"/>
      <c r="E402" s="101"/>
      <c r="F402" s="101"/>
      <c r="G402" s="101"/>
      <c r="H402" s="101"/>
      <c r="I402" s="101"/>
      <c r="J402" s="444"/>
      <c r="K402" s="101"/>
      <c r="L402" s="450"/>
      <c r="M402" s="318"/>
    </row>
    <row r="403" customFormat="false" ht="12.75" hidden="false" customHeight="true" outlineLevel="0" collapsed="false">
      <c r="A403" s="443"/>
      <c r="B403" s="157" t="s">
        <v>311</v>
      </c>
      <c r="C403" s="101"/>
      <c r="D403" s="101"/>
      <c r="E403" s="101"/>
      <c r="F403" s="101"/>
      <c r="G403" s="101"/>
      <c r="H403" s="101"/>
      <c r="I403" s="101"/>
      <c r="J403" s="444" t="s">
        <v>206</v>
      </c>
      <c r="K403" s="455" t="n">
        <f aca="false">'costo-mq'!$O$82</f>
        <v>312.7311</v>
      </c>
      <c r="L403" s="456"/>
    </row>
    <row r="404" customFormat="false" ht="6" hidden="false" customHeight="true" outlineLevel="0" collapsed="false">
      <c r="A404" s="443"/>
      <c r="B404" s="101"/>
      <c r="C404" s="101"/>
      <c r="D404" s="101"/>
      <c r="E404" s="101"/>
      <c r="F404" s="101"/>
      <c r="G404" s="101"/>
      <c r="H404" s="101"/>
      <c r="I404" s="101"/>
      <c r="J404" s="444"/>
      <c r="K404" s="154"/>
      <c r="L404" s="460"/>
      <c r="M404" s="318"/>
    </row>
    <row r="405" customFormat="false" ht="18" hidden="false" customHeight="true" outlineLevel="0" collapsed="false">
      <c r="A405" s="443"/>
      <c r="B405" s="101"/>
      <c r="C405" s="101"/>
      <c r="D405" s="101"/>
      <c r="E405" s="101"/>
      <c r="F405" s="101"/>
      <c r="G405" s="101"/>
      <c r="H405" s="461"/>
      <c r="I405" s="101"/>
      <c r="J405" s="444"/>
      <c r="K405" s="154"/>
      <c r="L405" s="460"/>
      <c r="M405" s="462"/>
    </row>
    <row r="406" customFormat="false" ht="6" hidden="false" customHeight="true" outlineLevel="0" collapsed="false">
      <c r="A406" s="443"/>
      <c r="B406" s="101"/>
      <c r="C406" s="101"/>
      <c r="D406" s="101"/>
      <c r="E406" s="101"/>
      <c r="F406" s="101"/>
      <c r="G406" s="101"/>
      <c r="H406" s="101"/>
      <c r="I406" s="101"/>
      <c r="J406" s="444"/>
      <c r="K406" s="154"/>
      <c r="L406" s="463"/>
      <c r="M406" s="318"/>
    </row>
    <row r="407" customFormat="false" ht="12.75" hidden="false" customHeight="true" outlineLevel="0" collapsed="false">
      <c r="A407" s="443" t="s">
        <v>312</v>
      </c>
      <c r="B407" s="464" t="s">
        <v>313</v>
      </c>
      <c r="C407" s="465"/>
      <c r="D407" s="465"/>
      <c r="E407" s="465"/>
      <c r="F407" s="465"/>
      <c r="G407" s="465"/>
      <c r="H407" s="465"/>
      <c r="I407" s="465"/>
      <c r="J407" s="466" t="s">
        <v>169</v>
      </c>
      <c r="K407" s="458" t="n">
        <f aca="false">K400*K403</f>
        <v>0</v>
      </c>
      <c r="L407" s="459"/>
      <c r="M407" s="318"/>
    </row>
    <row r="408" customFormat="false" ht="14.65" hidden="false" customHeight="true" outlineLevel="0" collapsed="false">
      <c r="A408" s="167"/>
      <c r="B408" s="142"/>
      <c r="C408" s="142"/>
      <c r="D408" s="142"/>
      <c r="E408" s="142"/>
      <c r="F408" s="142"/>
      <c r="G408" s="142"/>
      <c r="H408" s="142"/>
      <c r="I408" s="142"/>
      <c r="J408" s="142"/>
      <c r="K408" s="142"/>
      <c r="L408" s="379"/>
      <c r="M408" s="318"/>
    </row>
    <row r="409" customFormat="false" ht="5.1" hidden="false" customHeight="true" outlineLevel="0" collapsed="false">
      <c r="A409" s="167"/>
      <c r="B409" s="142"/>
      <c r="C409" s="142"/>
      <c r="D409" s="142"/>
      <c r="E409" s="142"/>
      <c r="F409" s="142"/>
      <c r="G409" s="142"/>
      <c r="H409" s="142"/>
      <c r="I409" s="142"/>
      <c r="J409" s="142"/>
      <c r="K409" s="142"/>
      <c r="L409" s="379"/>
      <c r="M409" s="318"/>
    </row>
    <row r="410" customFormat="false" ht="14.65" hidden="false" customHeight="true" outlineLevel="0" collapsed="false">
      <c r="A410" s="467" t="s">
        <v>314</v>
      </c>
      <c r="B410" s="467"/>
      <c r="C410" s="467"/>
      <c r="D410" s="467"/>
      <c r="E410" s="467"/>
      <c r="F410" s="467"/>
      <c r="G410" s="467"/>
      <c r="H410" s="467"/>
      <c r="I410" s="467"/>
      <c r="J410" s="467"/>
      <c r="K410" s="467"/>
      <c r="L410" s="467"/>
      <c r="M410" s="318"/>
    </row>
    <row r="411" customFormat="false" ht="5.1" hidden="false" customHeight="true" outlineLevel="0" collapsed="false">
      <c r="A411" s="167"/>
      <c r="B411" s="142"/>
      <c r="C411" s="142"/>
      <c r="D411" s="142"/>
      <c r="E411" s="142"/>
      <c r="F411" s="142"/>
      <c r="G411" s="142"/>
      <c r="H411" s="142"/>
      <c r="I411" s="142"/>
      <c r="J411" s="142"/>
      <c r="K411" s="142"/>
      <c r="L411" s="379"/>
      <c r="M411" s="318"/>
    </row>
    <row r="412" customFormat="false" ht="16.5" hidden="false" customHeight="true" outlineLevel="0" collapsed="false">
      <c r="A412" s="167"/>
      <c r="B412" s="352" t="s">
        <v>225</v>
      </c>
      <c r="C412" s="142"/>
      <c r="D412" s="383" t="s">
        <v>315</v>
      </c>
      <c r="E412" s="383"/>
      <c r="F412" s="388" t="s">
        <v>316</v>
      </c>
      <c r="G412" s="142"/>
      <c r="H412" s="142"/>
      <c r="I412" s="383" t="s">
        <v>317</v>
      </c>
      <c r="J412" s="383"/>
      <c r="K412" s="383"/>
      <c r="L412" s="379"/>
      <c r="M412" s="318"/>
    </row>
    <row r="413" customFormat="false" ht="11.25" hidden="false" customHeight="true" outlineLevel="0" collapsed="false">
      <c r="A413" s="167"/>
      <c r="B413" s="142"/>
      <c r="C413" s="142"/>
      <c r="D413" s="383"/>
      <c r="E413" s="383"/>
      <c r="F413" s="355"/>
      <c r="G413" s="142"/>
      <c r="H413" s="142"/>
      <c r="I413" s="383"/>
      <c r="J413" s="383"/>
      <c r="K413" s="383"/>
      <c r="L413" s="379"/>
      <c r="M413" s="318"/>
      <c r="N413" s="468" t="n">
        <f aca="false">SUM(E417:E427)</f>
        <v>0.07</v>
      </c>
      <c r="P413" s="468" t="n">
        <f aca="false">SUM(J415:J427)</f>
        <v>0.07</v>
      </c>
    </row>
    <row r="414" customFormat="false" ht="6" hidden="false" customHeight="true" outlineLevel="0" collapsed="false">
      <c r="A414" s="167"/>
      <c r="B414" s="142"/>
      <c r="C414" s="142"/>
      <c r="D414" s="383"/>
      <c r="E414" s="383"/>
      <c r="F414" s="355"/>
      <c r="G414" s="142"/>
      <c r="H414" s="142"/>
      <c r="I414" s="383"/>
      <c r="J414" s="383"/>
      <c r="K414" s="383"/>
      <c r="L414" s="379"/>
      <c r="M414" s="318"/>
    </row>
    <row r="415" customFormat="false" ht="13.5" hidden="false" customHeight="true" outlineLevel="0" collapsed="false">
      <c r="A415" s="167"/>
      <c r="B415" s="142"/>
      <c r="C415" s="142"/>
      <c r="D415" s="383"/>
      <c r="E415" s="383"/>
      <c r="F415" s="205" t="s">
        <v>318</v>
      </c>
      <c r="G415" s="403" t="str">
        <f aca="false">IF(K390&gt;60,"X","-")</f>
        <v>-</v>
      </c>
      <c r="H415" s="142"/>
      <c r="I415" s="142"/>
      <c r="J415" s="469"/>
      <c r="K415" s="383"/>
      <c r="L415" s="379"/>
      <c r="M415" s="318"/>
    </row>
    <row r="416" customFormat="false" ht="6" hidden="false" customHeight="true" outlineLevel="0" collapsed="false">
      <c r="A416" s="167"/>
      <c r="B416" s="142"/>
      <c r="C416" s="142"/>
      <c r="D416" s="142"/>
      <c r="E416" s="142"/>
      <c r="K416" s="142"/>
      <c r="L416" s="379"/>
      <c r="M416" s="318"/>
    </row>
    <row r="417" customFormat="false" ht="14.65" hidden="false" customHeight="true" outlineLevel="0" collapsed="false">
      <c r="A417" s="167"/>
      <c r="B417" s="295" t="s">
        <v>319</v>
      </c>
      <c r="C417" s="403" t="str">
        <f aca="false">IF(K388&gt;160,"X","-")</f>
        <v>-</v>
      </c>
      <c r="D417" s="142"/>
      <c r="E417" s="470" t="str">
        <f aca="false">IF($C$49="X"," ",IF(C417="X",N417,IF(C417="-"," ",0)))</f>
        <v> </v>
      </c>
      <c r="F417" s="205" t="s">
        <v>320</v>
      </c>
      <c r="G417" s="403" t="str">
        <f aca="false">IF(K390&gt;60,"-",IF(K390&gt;55,"X","-"))</f>
        <v>-</v>
      </c>
      <c r="H417" s="142"/>
      <c r="I417" s="142"/>
      <c r="J417" s="469" t="str">
        <f aca="false">O417</f>
        <v> </v>
      </c>
      <c r="L417" s="379"/>
      <c r="M417" s="471" t="n">
        <f aca="false">IF(E417=" ",0,IF(G417="x","9%",IF(G415="x","10%",0)))</f>
        <v>0</v>
      </c>
      <c r="N417" s="472" t="n">
        <v>0.09</v>
      </c>
      <c r="O417" s="473" t="str">
        <f aca="false">IF(E417&lt;&gt;" ",IF(K390&gt;60,P417,N417)," ")</f>
        <v> </v>
      </c>
      <c r="P417" s="472" t="n">
        <v>0.1</v>
      </c>
    </row>
    <row r="418" customFormat="false" ht="6" hidden="false" customHeight="true" outlineLevel="0" collapsed="false">
      <c r="A418" s="167"/>
      <c r="B418" s="295"/>
      <c r="C418" s="142"/>
      <c r="D418" s="142"/>
      <c r="E418" s="105"/>
      <c r="F418" s="205"/>
      <c r="G418" s="142"/>
      <c r="H418" s="142"/>
      <c r="I418" s="142"/>
      <c r="J418" s="156"/>
      <c r="L418" s="379"/>
      <c r="M418" s="474"/>
    </row>
    <row r="419" customFormat="false" ht="12.75" hidden="false" customHeight="true" outlineLevel="0" collapsed="false">
      <c r="A419" s="167"/>
      <c r="B419" s="295" t="s">
        <v>321</v>
      </c>
      <c r="C419" s="403" t="str">
        <f aca="false">IF(K388&gt;160,"-",IF(K388&lt;130,"-",IF(K388&lt;160,"X",0)))</f>
        <v>-</v>
      </c>
      <c r="D419" s="142"/>
      <c r="E419" s="470" t="str">
        <f aca="false">IF($C$49="X"," ",IF(C419="X",N419,IF(C419="-"," ",0)))</f>
        <v> </v>
      </c>
      <c r="F419" s="205" t="s">
        <v>322</v>
      </c>
      <c r="G419" s="403" t="str">
        <f aca="false">IF(K390&gt;55,"-",IF(K390&gt;50,"X","-"))</f>
        <v>-</v>
      </c>
      <c r="H419" s="142"/>
      <c r="I419" s="142"/>
      <c r="J419" s="469" t="str">
        <f aca="false">O419</f>
        <v> </v>
      </c>
      <c r="K419" s="475"/>
      <c r="L419" s="379"/>
      <c r="M419" s="471" t="n">
        <f aca="false">IF(E419=" ",0,IF(G417="x","9%",IF(E417="-","8%",0)))</f>
        <v>0</v>
      </c>
      <c r="N419" s="472" t="n">
        <v>0.08</v>
      </c>
      <c r="O419" s="425" t="str">
        <f aca="false">IF(E419&lt;&gt;" ",IF(K390&gt;55,P419,N419)," ")</f>
        <v> </v>
      </c>
      <c r="P419" s="472" t="n">
        <v>0.09</v>
      </c>
    </row>
    <row r="420" customFormat="false" ht="5.1" hidden="false" customHeight="true" outlineLevel="0" collapsed="false">
      <c r="A420" s="167"/>
      <c r="B420" s="295"/>
      <c r="C420" s="142"/>
      <c r="D420" s="142"/>
      <c r="E420" s="105"/>
      <c r="F420" s="205"/>
      <c r="G420" s="142"/>
      <c r="H420" s="142"/>
      <c r="I420" s="142"/>
      <c r="J420" s="156"/>
      <c r="K420" s="142"/>
      <c r="L420" s="379"/>
      <c r="M420" s="471"/>
    </row>
    <row r="421" customFormat="false" ht="14.65" hidden="false" customHeight="true" outlineLevel="0" collapsed="false">
      <c r="A421" s="167"/>
      <c r="B421" s="487" t="s">
        <v>323</v>
      </c>
      <c r="C421" s="403" t="str">
        <f aca="false">IF(K388&gt;130,"-",IF(K388&lt;110,"-",IF(K388&lt;130,"X",0)))</f>
        <v>-</v>
      </c>
      <c r="D421" s="142"/>
      <c r="E421" s="470" t="str">
        <f aca="false">IF($C$49="X"," ",IF(C421="X",N421,IF(C421="-"," ",0)))</f>
        <v> </v>
      </c>
      <c r="F421" s="205" t="s">
        <v>324</v>
      </c>
      <c r="G421" s="403" t="str">
        <f aca="false">IF(K390&gt;50,"-",IF(K390&gt;45,"X","-"))</f>
        <v>-</v>
      </c>
      <c r="H421" s="142"/>
      <c r="I421" s="142"/>
      <c r="J421" s="469" t="str">
        <f aca="false">O421</f>
        <v> </v>
      </c>
      <c r="K421" s="475"/>
      <c r="L421" s="379"/>
      <c r="M421" s="471" t="n">
        <f aca="false">IF(E421=" ",0,IF(G419="x","9%",IF(G417="x","9%",IF(E421="8%","8%",0))))</f>
        <v>0</v>
      </c>
      <c r="N421" s="472" t="n">
        <v>0.08</v>
      </c>
      <c r="O421" s="425" t="str">
        <f aca="false">IF(E421&lt;&gt;" ",IF(K390&gt;50,P421,N421)," ")</f>
        <v> </v>
      </c>
      <c r="P421" s="472" t="n">
        <v>0.09</v>
      </c>
    </row>
    <row r="422" customFormat="false" ht="5.1" hidden="false" customHeight="true" outlineLevel="0" collapsed="false">
      <c r="A422" s="167"/>
      <c r="B422" s="295"/>
      <c r="C422" s="142"/>
      <c r="D422" s="142"/>
      <c r="E422" s="105"/>
      <c r="F422" s="205"/>
      <c r="G422" s="142"/>
      <c r="H422" s="142"/>
      <c r="I422" s="142"/>
      <c r="J422" s="156"/>
      <c r="K422" s="142"/>
      <c r="L422" s="379"/>
      <c r="M422" s="471"/>
    </row>
    <row r="423" customFormat="false" ht="14.65" hidden="false" customHeight="true" outlineLevel="0" collapsed="false">
      <c r="A423" s="167"/>
      <c r="B423" s="295" t="s">
        <v>325</v>
      </c>
      <c r="C423" s="403" t="str">
        <f aca="false">IF(K388&gt;110,"-",IF(K388&lt;95,"-",IF(K388&lt;110,"X",0)))</f>
        <v>-</v>
      </c>
      <c r="D423" s="142"/>
      <c r="E423" s="470" t="str">
        <f aca="false">IF($C$49="X"," ",IF(C423="X",N423,IF(C423="-"," ",0)))</f>
        <v> </v>
      </c>
      <c r="F423" s="205" t="s">
        <v>326</v>
      </c>
      <c r="G423" s="403" t="str">
        <f aca="false">IF(K390&gt;45,"-",IF(K390&gt;40,"X","-"))</f>
        <v>-</v>
      </c>
      <c r="H423" s="142"/>
      <c r="I423" s="142"/>
      <c r="J423" s="469" t="str">
        <f aca="false">O423</f>
        <v> </v>
      </c>
      <c r="K423" s="475"/>
      <c r="L423" s="379"/>
      <c r="M423" s="471" t="n">
        <f aca="false">IF(E423=" ",0,IF(G421="x","8%",IF(G419="x","8%",IF(G417="x","8%",IF(E423="7%","7%",0)))))</f>
        <v>0</v>
      </c>
      <c r="N423" s="472" t="n">
        <v>0.07</v>
      </c>
      <c r="O423" s="425" t="str">
        <f aca="false">IF(E423&lt;&gt;" ",IF(K390&gt;45,P423,N423)," ")</f>
        <v> </v>
      </c>
      <c r="P423" s="472" t="n">
        <v>0.08</v>
      </c>
    </row>
    <row r="424" customFormat="false" ht="5.1" hidden="false" customHeight="true" outlineLevel="0" collapsed="false">
      <c r="A424" s="167"/>
      <c r="B424" s="295"/>
      <c r="C424" s="142"/>
      <c r="D424" s="142"/>
      <c r="E424" s="105"/>
      <c r="F424" s="205"/>
      <c r="G424" s="142"/>
      <c r="H424" s="142"/>
      <c r="I424" s="142"/>
      <c r="J424" s="156"/>
      <c r="K424" s="142"/>
      <c r="L424" s="379"/>
      <c r="M424" s="474"/>
    </row>
    <row r="425" customFormat="false" ht="14.65" hidden="false" customHeight="true" outlineLevel="0" collapsed="false">
      <c r="A425" s="167"/>
      <c r="B425" s="295" t="s">
        <v>327</v>
      </c>
      <c r="C425" s="403" t="str">
        <f aca="false">IF(K388&lt;95,"X","-")</f>
        <v>X</v>
      </c>
      <c r="D425" s="142"/>
      <c r="E425" s="469" t="n">
        <f aca="false">IF($C$49="X"," ",IF(C425="X",N425,IF(C425="-"," ",0)))</f>
        <v>0.07</v>
      </c>
      <c r="F425" s="205" t="s">
        <v>328</v>
      </c>
      <c r="G425" s="403" t="str">
        <f aca="false">IF(K390&lt;=40,"X","-")</f>
        <v>X</v>
      </c>
      <c r="H425" s="142"/>
      <c r="I425" s="142"/>
      <c r="J425" s="469" t="n">
        <f aca="false">O425</f>
        <v>0.07</v>
      </c>
      <c r="K425" s="475"/>
      <c r="L425" s="379"/>
      <c r="M425" s="471" t="n">
        <f aca="false">IF(E425=" ",0,IF(G423="x","8%",IF(G421="x","8%",IF(G419="x","8%",IF(G417="x","8%",IF(E425="7%","7%",0))))))</f>
        <v>0</v>
      </c>
      <c r="N425" s="472" t="n">
        <v>0.07</v>
      </c>
      <c r="O425" s="472" t="n">
        <f aca="false">IF(E425&lt;&gt;" ",IF(K390&gt;40,P425,N425)," ")</f>
        <v>0.07</v>
      </c>
      <c r="P425" s="472" t="n">
        <v>0.08</v>
      </c>
    </row>
    <row r="426" customFormat="false" ht="5.1" hidden="false" customHeight="true" outlineLevel="0" collapsed="false">
      <c r="A426" s="167"/>
      <c r="B426" s="142"/>
      <c r="C426" s="142"/>
      <c r="D426" s="142"/>
      <c r="E426" s="105"/>
      <c r="K426" s="142"/>
      <c r="L426" s="379"/>
      <c r="M426" s="474"/>
    </row>
    <row r="427" customFormat="false" ht="14.65" hidden="false" customHeight="true" outlineLevel="0" collapsed="false">
      <c r="A427" s="167"/>
      <c r="B427" s="295" t="s">
        <v>329</v>
      </c>
      <c r="C427" s="476"/>
      <c r="D427" s="142"/>
      <c r="E427" s="475" t="str">
        <f aca="false">IF(C427="X",N427," ")</f>
        <v> </v>
      </c>
      <c r="J427" s="477" t="str">
        <f aca="false">E427</f>
        <v> </v>
      </c>
      <c r="K427" s="475" t="s">
        <v>330</v>
      </c>
      <c r="L427" s="379"/>
      <c r="M427" s="471" t="n">
        <f aca="false">IF(J427=" ",0,IF(J427="10%",0.1,0))</f>
        <v>0</v>
      </c>
      <c r="N427" s="472" t="n">
        <v>0.1</v>
      </c>
    </row>
    <row r="428" customFormat="false" ht="9" hidden="false" customHeight="true" outlineLevel="0" collapsed="false">
      <c r="A428" s="167"/>
      <c r="B428" s="142"/>
      <c r="C428" s="142"/>
      <c r="D428" s="142"/>
      <c r="E428" s="142"/>
      <c r="F428" s="142"/>
      <c r="G428" s="142"/>
      <c r="H428" s="142"/>
      <c r="I428" s="142"/>
      <c r="J428" s="142"/>
      <c r="K428" s="142"/>
      <c r="L428" s="379"/>
      <c r="M428" s="471" t="n">
        <f aca="false">M417+M419+M421+M423+M425+M427</f>
        <v>0</v>
      </c>
    </row>
    <row r="429" customFormat="false" ht="6" hidden="false" customHeight="true" outlineLevel="0" collapsed="false">
      <c r="A429" s="167"/>
      <c r="B429" s="142"/>
      <c r="C429" s="142"/>
      <c r="D429" s="142"/>
      <c r="E429" s="142"/>
      <c r="F429" s="142"/>
      <c r="G429" s="142"/>
      <c r="H429" s="142"/>
      <c r="I429" s="142"/>
      <c r="J429" s="142"/>
      <c r="K429" s="142"/>
      <c r="L429" s="379"/>
      <c r="M429" s="318"/>
    </row>
    <row r="430" customFormat="false" ht="12.75" hidden="false" customHeight="true" outlineLevel="0" collapsed="false">
      <c r="A430" s="167"/>
      <c r="B430" s="142" t="s">
        <v>331</v>
      </c>
      <c r="C430" s="142"/>
      <c r="D430" s="142"/>
      <c r="E430" s="142"/>
      <c r="F430" s="142"/>
      <c r="G430" s="476"/>
      <c r="H430" s="142"/>
      <c r="I430" s="142"/>
      <c r="J430" s="142"/>
      <c r="K430" s="142"/>
      <c r="L430" s="379"/>
      <c r="M430" s="318"/>
      <c r="N430" s="425" t="n">
        <f aca="false">IF(G430="X",1,0)</f>
        <v>0</v>
      </c>
    </row>
    <row r="431" customFormat="false" ht="6" hidden="false" customHeight="true" outlineLevel="0" collapsed="false">
      <c r="A431" s="167"/>
      <c r="B431" s="142"/>
      <c r="C431" s="142"/>
      <c r="D431" s="142"/>
      <c r="E431" s="142"/>
      <c r="F431" s="142"/>
      <c r="G431" s="295"/>
      <c r="H431" s="142"/>
      <c r="I431" s="142"/>
      <c r="J431" s="142"/>
      <c r="K431" s="142"/>
      <c r="L431" s="379"/>
      <c r="M431" s="318"/>
    </row>
    <row r="432" customFormat="false" ht="14.65" hidden="false" customHeight="true" outlineLevel="0" collapsed="false">
      <c r="A432" s="167"/>
      <c r="B432" s="142" t="s">
        <v>332</v>
      </c>
      <c r="C432" s="142"/>
      <c r="D432" s="142"/>
      <c r="E432" s="142"/>
      <c r="F432" s="142"/>
      <c r="G432" s="476" t="s">
        <v>238</v>
      </c>
      <c r="H432" s="142"/>
      <c r="I432" s="142"/>
      <c r="J432" s="142"/>
      <c r="K432" s="142"/>
      <c r="L432" s="379"/>
      <c r="M432" s="318"/>
      <c r="N432" s="425" t="n">
        <f aca="false">IF(G432="X",1,0)</f>
        <v>0</v>
      </c>
    </row>
    <row r="433" customFormat="false" ht="5.1" hidden="false" customHeight="true" outlineLevel="0" collapsed="false">
      <c r="A433" s="167"/>
      <c r="B433" s="142"/>
      <c r="C433" s="142"/>
      <c r="D433" s="142"/>
      <c r="E433" s="142"/>
      <c r="F433" s="142"/>
      <c r="G433" s="295"/>
      <c r="H433" s="142"/>
      <c r="I433" s="142"/>
      <c r="J433" s="142"/>
      <c r="K433" s="142"/>
      <c r="L433" s="379"/>
      <c r="M433" s="318"/>
    </row>
    <row r="434" customFormat="false" ht="12.75" hidden="false" customHeight="true" outlineLevel="0" collapsed="false">
      <c r="A434" s="167"/>
      <c r="B434" s="142" t="s">
        <v>333</v>
      </c>
      <c r="C434" s="142"/>
      <c r="D434" s="142"/>
      <c r="E434" s="142"/>
      <c r="F434" s="142"/>
      <c r="G434" s="476"/>
      <c r="H434" s="142"/>
      <c r="I434" s="142"/>
      <c r="J434" s="142"/>
      <c r="K434" s="142"/>
      <c r="L434" s="379"/>
      <c r="M434" s="318"/>
      <c r="N434" s="425" t="n">
        <f aca="false">IF(G434="X",1,0)</f>
        <v>0</v>
      </c>
    </row>
    <row r="435" customFormat="false" ht="4.5" hidden="false" customHeight="true" outlineLevel="0" collapsed="false">
      <c r="A435" s="167"/>
      <c r="B435" s="142"/>
      <c r="C435" s="142"/>
      <c r="D435" s="142"/>
      <c r="E435" s="142"/>
      <c r="F435" s="142"/>
      <c r="G435" s="142"/>
      <c r="H435" s="142"/>
      <c r="I435" s="142"/>
      <c r="J435" s="142"/>
      <c r="K435" s="142"/>
      <c r="L435" s="379"/>
      <c r="M435" s="318"/>
    </row>
    <row r="436" customFormat="false" ht="15" hidden="false" customHeight="true" outlineLevel="0" collapsed="false">
      <c r="A436" s="167"/>
      <c r="B436" s="142" t="s">
        <v>334</v>
      </c>
      <c r="C436" s="142"/>
      <c r="D436" s="142"/>
      <c r="E436" s="142"/>
      <c r="F436" s="142"/>
      <c r="G436" s="142"/>
      <c r="H436" s="142"/>
      <c r="I436" s="142"/>
      <c r="J436" s="142"/>
      <c r="K436" s="478" t="n">
        <f aca="false">IF(N436&gt;0,O436-0.01,O436)</f>
        <v>0.07</v>
      </c>
      <c r="L436" s="478"/>
      <c r="M436" s="318"/>
      <c r="N436" s="425" t="n">
        <f aca="false">N430+N432+N434</f>
        <v>0</v>
      </c>
      <c r="O436" s="473" t="n">
        <f aca="false">IF(J427&lt;&gt;" ",J427,P413)</f>
        <v>0.07</v>
      </c>
    </row>
    <row r="437" customFormat="false" ht="4.5" hidden="false" customHeight="true" outlineLevel="0" collapsed="false">
      <c r="A437" s="167"/>
      <c r="B437" s="142"/>
      <c r="C437" s="142"/>
      <c r="D437" s="142"/>
      <c r="E437" s="142"/>
      <c r="F437" s="142"/>
      <c r="G437" s="142"/>
      <c r="H437" s="142"/>
      <c r="I437" s="142"/>
      <c r="J437" s="142"/>
      <c r="K437" s="142"/>
      <c r="L437" s="379"/>
      <c r="M437" s="318"/>
    </row>
    <row r="438" customFormat="false" ht="4.5" hidden="false" customHeight="true" outlineLevel="0" collapsed="false">
      <c r="A438" s="167"/>
      <c r="B438" s="142"/>
      <c r="C438" s="142"/>
      <c r="D438" s="142"/>
      <c r="E438" s="142"/>
      <c r="F438" s="142"/>
      <c r="G438" s="142"/>
      <c r="H438" s="142"/>
      <c r="I438" s="142"/>
      <c r="J438" s="142"/>
      <c r="K438" s="142"/>
      <c r="L438" s="379"/>
      <c r="M438" s="318"/>
    </row>
    <row r="439" customFormat="false" ht="12.75" hidden="false" customHeight="true" outlineLevel="0" collapsed="false">
      <c r="A439" s="467" t="s">
        <v>335</v>
      </c>
      <c r="B439" s="467"/>
      <c r="C439" s="467"/>
      <c r="D439" s="467"/>
      <c r="E439" s="467"/>
      <c r="F439" s="467"/>
      <c r="G439" s="467"/>
      <c r="H439" s="467"/>
      <c r="I439" s="467"/>
      <c r="J439" s="467"/>
      <c r="K439" s="467"/>
      <c r="L439" s="467"/>
      <c r="M439" s="318"/>
    </row>
    <row r="440" customFormat="false" ht="6" hidden="false" customHeight="true" outlineLevel="0" collapsed="false">
      <c r="A440" s="167"/>
      <c r="B440" s="142"/>
      <c r="C440" s="142"/>
      <c r="D440" s="142"/>
      <c r="E440" s="142"/>
      <c r="F440" s="142"/>
      <c r="G440" s="142"/>
      <c r="H440" s="142"/>
      <c r="I440" s="142"/>
      <c r="J440" s="142"/>
      <c r="K440" s="142"/>
      <c r="L440" s="379"/>
      <c r="M440" s="318"/>
    </row>
    <row r="441" customFormat="false" ht="18" hidden="false" customHeight="true" outlineLevel="0" collapsed="false">
      <c r="A441" s="167"/>
      <c r="B441" s="142" t="s">
        <v>336</v>
      </c>
      <c r="C441" s="142"/>
      <c r="D441" s="142"/>
      <c r="E441" s="142"/>
      <c r="F441" s="142"/>
      <c r="G441" s="142"/>
      <c r="H441" s="142" t="s">
        <v>169</v>
      </c>
      <c r="I441" s="479" t="n">
        <f aca="false">K407</f>
        <v>0</v>
      </c>
      <c r="J441" s="479"/>
      <c r="K441" s="479"/>
      <c r="L441" s="479"/>
      <c r="M441" s="318"/>
    </row>
    <row r="442" customFormat="false" ht="5.1" hidden="false" customHeight="true" outlineLevel="0" collapsed="false">
      <c r="A442" s="167"/>
      <c r="B442" s="142"/>
      <c r="C442" s="142"/>
      <c r="D442" s="142"/>
      <c r="E442" s="142"/>
      <c r="F442" s="142"/>
      <c r="G442" s="142"/>
      <c r="H442" s="142"/>
      <c r="I442" s="142"/>
      <c r="J442" s="142"/>
      <c r="K442" s="142"/>
      <c r="L442" s="379"/>
      <c r="M442" s="318"/>
    </row>
    <row r="443" customFormat="false" ht="18" hidden="false" customHeight="true" outlineLevel="0" collapsed="false">
      <c r="A443" s="167"/>
      <c r="B443" s="142" t="s">
        <v>337</v>
      </c>
      <c r="C443" s="142"/>
      <c r="D443" s="142"/>
      <c r="E443" s="142"/>
      <c r="F443" s="142"/>
      <c r="G443" s="142"/>
      <c r="H443" s="142" t="s">
        <v>338</v>
      </c>
      <c r="I443" s="480" t="n">
        <f aca="false">K436</f>
        <v>0.07</v>
      </c>
      <c r="J443" s="480"/>
      <c r="K443" s="480"/>
      <c r="L443" s="480"/>
      <c r="M443" s="318"/>
    </row>
    <row r="444" customFormat="false" ht="5.1" hidden="false" customHeight="true" outlineLevel="0" collapsed="false">
      <c r="A444" s="167"/>
      <c r="B444" s="142"/>
      <c r="C444" s="142"/>
      <c r="D444" s="142"/>
      <c r="E444" s="142"/>
      <c r="F444" s="142"/>
      <c r="G444" s="142"/>
      <c r="H444" s="142"/>
      <c r="I444" s="142"/>
      <c r="J444" s="142"/>
      <c r="K444" s="142"/>
      <c r="L444" s="379"/>
      <c r="M444" s="318"/>
    </row>
    <row r="445" customFormat="false" ht="18" hidden="false" customHeight="true" outlineLevel="0" collapsed="false">
      <c r="A445" s="481"/>
      <c r="B445" s="197" t="s">
        <v>339</v>
      </c>
      <c r="C445" s="197"/>
      <c r="D445" s="197"/>
      <c r="E445" s="197"/>
      <c r="F445" s="197"/>
      <c r="G445" s="197"/>
      <c r="H445" s="197" t="s">
        <v>169</v>
      </c>
      <c r="I445" s="482" t="n">
        <f aca="false">I441*I443</f>
        <v>0</v>
      </c>
      <c r="J445" s="482"/>
      <c r="K445" s="482"/>
      <c r="L445" s="482"/>
      <c r="M445" s="318"/>
    </row>
    <row r="446" s="112" customFormat="true" ht="28.35" hidden="false" customHeight="true" outlineLevel="0" collapsed="false">
      <c r="A446" s="483"/>
      <c r="B446" s="484"/>
      <c r="C446" s="484"/>
      <c r="D446" s="484"/>
      <c r="E446" s="484"/>
      <c r="F446" s="484"/>
      <c r="G446" s="484"/>
      <c r="H446" s="484"/>
      <c r="I446" s="484"/>
      <c r="J446" s="484"/>
      <c r="K446" s="484"/>
      <c r="L446" s="485"/>
      <c r="M446" s="430"/>
      <c r="N446" s="118"/>
      <c r="O446" s="118"/>
      <c r="P446" s="118"/>
      <c r="Q446" s="118"/>
      <c r="R446" s="118"/>
    </row>
    <row r="447" s="112" customFormat="true" ht="18.15" hidden="false" customHeight="true" outlineLevel="0" collapsed="false">
      <c r="A447" s="432" t="s">
        <v>161</v>
      </c>
      <c r="B447" s="433"/>
      <c r="C447" s="433"/>
      <c r="D447" s="433"/>
      <c r="E447" s="433"/>
      <c r="F447" s="434" t="s">
        <v>162</v>
      </c>
      <c r="G447" s="435"/>
      <c r="H447" s="435"/>
      <c r="I447" s="123"/>
      <c r="J447" s="436"/>
      <c r="K447" s="434" t="s">
        <v>297</v>
      </c>
      <c r="L447" s="437"/>
      <c r="M447" s="430"/>
      <c r="N447" s="118"/>
      <c r="O447" s="118"/>
      <c r="P447" s="118"/>
      <c r="Q447" s="118"/>
      <c r="R447" s="118"/>
    </row>
    <row r="448" s="112" customFormat="true" ht="9.75" hidden="false" customHeight="true" outlineLevel="0" collapsed="false">
      <c r="A448" s="438"/>
      <c r="B448" s="439"/>
      <c r="C448" s="440"/>
      <c r="D448" s="440"/>
      <c r="E448" s="123"/>
      <c r="F448" s="440"/>
      <c r="G448" s="434"/>
      <c r="H448" s="440"/>
      <c r="I448" s="123"/>
      <c r="J448" s="434"/>
      <c r="K448" s="441"/>
      <c r="L448" s="441"/>
      <c r="M448" s="430"/>
      <c r="N448" s="118"/>
      <c r="O448" s="118"/>
      <c r="P448" s="118"/>
      <c r="Q448" s="118"/>
      <c r="R448" s="118"/>
    </row>
    <row r="449" customFormat="false" ht="14.65" hidden="false" customHeight="true" outlineLevel="0" collapsed="false">
      <c r="A449" s="442" t="s">
        <v>298</v>
      </c>
      <c r="B449" s="442"/>
      <c r="C449" s="442"/>
      <c r="D449" s="442"/>
      <c r="E449" s="442"/>
      <c r="F449" s="442"/>
      <c r="G449" s="442"/>
      <c r="H449" s="442"/>
      <c r="I449" s="442"/>
      <c r="J449" s="442"/>
      <c r="K449" s="442"/>
      <c r="L449" s="442"/>
      <c r="M449" s="318"/>
    </row>
    <row r="450" customFormat="false" ht="9" hidden="false" customHeight="true" outlineLevel="0" collapsed="false">
      <c r="A450" s="443"/>
      <c r="B450" s="444"/>
      <c r="C450" s="101"/>
      <c r="D450" s="101"/>
      <c r="E450" s="101"/>
      <c r="F450" s="101"/>
      <c r="G450" s="101"/>
      <c r="H450" s="101"/>
      <c r="I450" s="101"/>
      <c r="J450" s="101"/>
      <c r="K450" s="101"/>
      <c r="L450" s="445"/>
    </row>
    <row r="451" customFormat="false" ht="12.75" hidden="false" customHeight="true" outlineLevel="0" collapsed="false">
      <c r="A451" s="443"/>
      <c r="B451" s="446" t="s">
        <v>299</v>
      </c>
      <c r="C451" s="101"/>
      <c r="D451" s="101"/>
      <c r="E451" s="101"/>
      <c r="F451" s="101"/>
      <c r="G451" s="101"/>
      <c r="H451" s="101"/>
      <c r="I451" s="101"/>
      <c r="J451" s="101"/>
      <c r="K451" s="447"/>
      <c r="L451" s="448"/>
    </row>
    <row r="452" customFormat="false" ht="9" hidden="false" customHeight="true" outlineLevel="0" collapsed="false">
      <c r="A452" s="443"/>
      <c r="B452" s="444"/>
      <c r="C452" s="101"/>
      <c r="D452" s="101"/>
      <c r="E452" s="101"/>
      <c r="F452" s="101"/>
      <c r="G452" s="101"/>
      <c r="H452" s="101"/>
      <c r="I452" s="101"/>
      <c r="J452" s="101"/>
      <c r="K452" s="449"/>
      <c r="L452" s="448"/>
    </row>
    <row r="453" customFormat="false" ht="12.75" hidden="false" customHeight="true" outlineLevel="0" collapsed="false">
      <c r="A453" s="443"/>
      <c r="B453" s="446" t="s">
        <v>300</v>
      </c>
      <c r="C453" s="101"/>
      <c r="D453" s="101"/>
      <c r="E453" s="101"/>
      <c r="F453" s="101"/>
      <c r="G453" s="101"/>
      <c r="H453" s="101"/>
      <c r="I453" s="101"/>
      <c r="J453" s="101"/>
      <c r="K453" s="447"/>
      <c r="L453" s="448"/>
    </row>
    <row r="454" customFormat="false" ht="6.75" hidden="false" customHeight="true" outlineLevel="0" collapsed="false">
      <c r="A454" s="443"/>
      <c r="B454" s="444"/>
      <c r="C454" s="101"/>
      <c r="D454" s="101"/>
      <c r="E454" s="101"/>
      <c r="F454" s="101"/>
      <c r="G454" s="101"/>
      <c r="H454" s="101"/>
      <c r="I454" s="101"/>
      <c r="J454" s="101"/>
      <c r="K454" s="101"/>
      <c r="L454" s="450"/>
    </row>
    <row r="455" customFormat="false" ht="12.75" hidden="false" customHeight="true" outlineLevel="0" collapsed="false">
      <c r="A455" s="443" t="s">
        <v>301</v>
      </c>
      <c r="B455" s="101" t="s">
        <v>302</v>
      </c>
      <c r="C455" s="101"/>
      <c r="D455" s="101"/>
      <c r="E455" s="101"/>
      <c r="F455" s="101"/>
      <c r="G455" s="101"/>
      <c r="H455" s="101"/>
      <c r="I455" s="101"/>
      <c r="J455" s="444" t="s">
        <v>205</v>
      </c>
      <c r="K455" s="447"/>
      <c r="L455" s="448"/>
      <c r="M455" s="318"/>
    </row>
    <row r="456" customFormat="false" ht="9" hidden="false" customHeight="true" outlineLevel="0" collapsed="false">
      <c r="A456" s="443"/>
      <c r="B456" s="101"/>
      <c r="C456" s="101"/>
      <c r="D456" s="101"/>
      <c r="E456" s="101"/>
      <c r="F456" s="101"/>
      <c r="G456" s="101"/>
      <c r="H456" s="101"/>
      <c r="I456" s="101"/>
      <c r="J456" s="444"/>
      <c r="K456" s="101"/>
      <c r="L456" s="450"/>
      <c r="M456" s="318"/>
    </row>
    <row r="457" customFormat="false" ht="12.75" hidden="false" customHeight="true" outlineLevel="0" collapsed="false">
      <c r="A457" s="443"/>
      <c r="B457" s="451" t="s">
        <v>303</v>
      </c>
      <c r="C457" s="451"/>
      <c r="D457" s="451"/>
      <c r="E457" s="101"/>
      <c r="F457" s="101"/>
      <c r="G457" s="101"/>
      <c r="H457" s="101"/>
      <c r="I457" s="101"/>
      <c r="J457" s="444"/>
      <c r="K457" s="101"/>
      <c r="L457" s="452"/>
      <c r="M457" s="318"/>
    </row>
    <row r="458" customFormat="false" ht="12.75" hidden="false" customHeight="true" outlineLevel="0" collapsed="false">
      <c r="A458" s="453" t="s">
        <v>304</v>
      </c>
      <c r="B458" s="451"/>
      <c r="C458" s="451"/>
      <c r="D458" s="451"/>
      <c r="E458" s="101" t="s">
        <v>205</v>
      </c>
      <c r="F458" s="454"/>
      <c r="G458" s="444" t="s">
        <v>305</v>
      </c>
      <c r="H458" s="101" t="n">
        <v>0.6</v>
      </c>
      <c r="I458" s="101" t="s">
        <v>306</v>
      </c>
      <c r="J458" s="444" t="s">
        <v>205</v>
      </c>
      <c r="K458" s="455" t="n">
        <f aca="false">IF(F458&gt;0,F458*H458,0)</f>
        <v>0</v>
      </c>
      <c r="L458" s="456"/>
      <c r="M458" s="318"/>
    </row>
    <row r="459" customFormat="false" ht="6" hidden="false" customHeight="true" outlineLevel="0" collapsed="false">
      <c r="A459" s="443"/>
      <c r="B459" s="101"/>
      <c r="C459" s="101"/>
      <c r="D459" s="101"/>
      <c r="E459" s="101"/>
      <c r="F459" s="101"/>
      <c r="G459" s="101"/>
      <c r="H459" s="101"/>
      <c r="I459" s="101"/>
      <c r="J459" s="444"/>
      <c r="K459" s="101"/>
      <c r="L459" s="450"/>
      <c r="M459" s="318"/>
    </row>
    <row r="460" customFormat="false" ht="14.65" hidden="false" customHeight="true" outlineLevel="0" collapsed="false">
      <c r="A460" s="443"/>
      <c r="B460" s="101"/>
      <c r="C460" s="101"/>
      <c r="D460" s="101"/>
      <c r="E460" s="101"/>
      <c r="F460" s="101"/>
      <c r="G460" s="101"/>
      <c r="H460" s="101"/>
      <c r="I460" s="101"/>
      <c r="J460" s="444"/>
      <c r="K460" s="101"/>
      <c r="L460" s="450"/>
      <c r="M460" s="318"/>
    </row>
    <row r="461" customFormat="false" ht="12.75" hidden="false" customHeight="true" outlineLevel="0" collapsed="false">
      <c r="A461" s="443"/>
      <c r="B461" s="157"/>
      <c r="C461" s="101"/>
      <c r="D461" s="101"/>
      <c r="E461" s="101"/>
      <c r="F461" s="101"/>
      <c r="G461" s="101"/>
      <c r="H461" s="101"/>
      <c r="I461" s="101"/>
      <c r="J461" s="444"/>
      <c r="K461" s="457"/>
      <c r="L461" s="448"/>
      <c r="M461" s="318"/>
    </row>
    <row r="462" customFormat="false" ht="8.25" hidden="false" customHeight="true" outlineLevel="0" collapsed="false">
      <c r="A462" s="443"/>
      <c r="B462" s="157"/>
      <c r="C462" s="101"/>
      <c r="D462" s="101"/>
      <c r="E462" s="101"/>
      <c r="F462" s="101"/>
      <c r="G462" s="101"/>
      <c r="H462" s="101"/>
      <c r="I462" s="101"/>
      <c r="J462" s="444"/>
      <c r="K462" s="101"/>
      <c r="L462" s="450"/>
      <c r="M462" s="318"/>
    </row>
    <row r="463" customFormat="false" ht="12.75" hidden="false" customHeight="true" outlineLevel="0" collapsed="false">
      <c r="A463" s="443" t="s">
        <v>307</v>
      </c>
      <c r="B463" s="101" t="s">
        <v>308</v>
      </c>
      <c r="C463" s="101"/>
      <c r="D463" s="101"/>
      <c r="E463" s="101"/>
      <c r="F463" s="101"/>
      <c r="G463" s="101"/>
      <c r="H463" s="101"/>
      <c r="I463" s="101"/>
      <c r="J463" s="444" t="s">
        <v>205</v>
      </c>
      <c r="K463" s="458" t="n">
        <f aca="false">K455+K458+K461</f>
        <v>0</v>
      </c>
      <c r="L463" s="459"/>
      <c r="M463" s="318"/>
    </row>
    <row r="464" customFormat="false" ht="8.25" hidden="false" customHeight="true" outlineLevel="0" collapsed="false">
      <c r="A464" s="443"/>
      <c r="B464" s="101"/>
      <c r="C464" s="101"/>
      <c r="D464" s="101"/>
      <c r="E464" s="101"/>
      <c r="F464" s="101"/>
      <c r="G464" s="101"/>
      <c r="H464" s="101"/>
      <c r="I464" s="101"/>
      <c r="J464" s="444"/>
      <c r="K464" s="101"/>
      <c r="L464" s="450"/>
      <c r="M464" s="318"/>
    </row>
    <row r="465" customFormat="false" ht="14.65" hidden="false" customHeight="true" outlineLevel="0" collapsed="false">
      <c r="A465" s="443" t="s">
        <v>309</v>
      </c>
      <c r="B465" s="101" t="s">
        <v>310</v>
      </c>
      <c r="C465" s="101"/>
      <c r="D465" s="101"/>
      <c r="E465" s="101"/>
      <c r="F465" s="101"/>
      <c r="G465" s="101"/>
      <c r="H465" s="101"/>
      <c r="I465" s="101"/>
      <c r="J465" s="444"/>
      <c r="K465" s="101"/>
      <c r="L465" s="450"/>
      <c r="M465" s="318"/>
    </row>
    <row r="466" customFormat="false" ht="12.75" hidden="false" customHeight="true" outlineLevel="0" collapsed="false">
      <c r="A466" s="443"/>
      <c r="B466" s="157" t="s">
        <v>311</v>
      </c>
      <c r="C466" s="101"/>
      <c r="D466" s="101"/>
      <c r="E466" s="101"/>
      <c r="F466" s="101"/>
      <c r="G466" s="101"/>
      <c r="H466" s="101"/>
      <c r="I466" s="101"/>
      <c r="J466" s="444" t="s">
        <v>206</v>
      </c>
      <c r="K466" s="455" t="n">
        <f aca="false">'costo-mq'!$O$82</f>
        <v>312.7311</v>
      </c>
      <c r="L466" s="456"/>
    </row>
    <row r="467" customFormat="false" ht="6" hidden="false" customHeight="true" outlineLevel="0" collapsed="false">
      <c r="A467" s="443"/>
      <c r="B467" s="101"/>
      <c r="C467" s="101"/>
      <c r="D467" s="101"/>
      <c r="E467" s="101"/>
      <c r="F467" s="101"/>
      <c r="G467" s="101"/>
      <c r="H467" s="101"/>
      <c r="I467" s="101"/>
      <c r="J467" s="444"/>
      <c r="K467" s="154"/>
      <c r="L467" s="460"/>
      <c r="M467" s="318"/>
    </row>
    <row r="468" customFormat="false" ht="18" hidden="false" customHeight="true" outlineLevel="0" collapsed="false">
      <c r="A468" s="443"/>
      <c r="B468" s="101"/>
      <c r="C468" s="101"/>
      <c r="D468" s="101"/>
      <c r="E468" s="101"/>
      <c r="F468" s="101"/>
      <c r="G468" s="101"/>
      <c r="H468" s="461"/>
      <c r="I468" s="101"/>
      <c r="J468" s="444"/>
      <c r="K468" s="154"/>
      <c r="L468" s="460"/>
      <c r="M468" s="462"/>
    </row>
    <row r="469" customFormat="false" ht="6" hidden="false" customHeight="true" outlineLevel="0" collapsed="false">
      <c r="A469" s="443"/>
      <c r="B469" s="101"/>
      <c r="C469" s="101"/>
      <c r="D469" s="101"/>
      <c r="E469" s="101"/>
      <c r="F469" s="101"/>
      <c r="G469" s="101"/>
      <c r="H469" s="101"/>
      <c r="I469" s="101"/>
      <c r="J469" s="444"/>
      <c r="K469" s="154"/>
      <c r="L469" s="463"/>
      <c r="M469" s="318"/>
    </row>
    <row r="470" customFormat="false" ht="12.75" hidden="false" customHeight="true" outlineLevel="0" collapsed="false">
      <c r="A470" s="443" t="s">
        <v>312</v>
      </c>
      <c r="B470" s="464" t="s">
        <v>313</v>
      </c>
      <c r="C470" s="465"/>
      <c r="D470" s="465"/>
      <c r="E470" s="465"/>
      <c r="F470" s="465"/>
      <c r="G470" s="465"/>
      <c r="H470" s="465"/>
      <c r="I470" s="465"/>
      <c r="J470" s="466" t="s">
        <v>169</v>
      </c>
      <c r="K470" s="458" t="n">
        <f aca="false">K463*K466</f>
        <v>0</v>
      </c>
      <c r="L470" s="459"/>
      <c r="M470" s="318"/>
    </row>
    <row r="471" customFormat="false" ht="14.65" hidden="false" customHeight="true" outlineLevel="0" collapsed="false">
      <c r="A471" s="167"/>
      <c r="B471" s="142"/>
      <c r="C471" s="142"/>
      <c r="D471" s="142"/>
      <c r="E471" s="142"/>
      <c r="F471" s="142"/>
      <c r="G471" s="142"/>
      <c r="H471" s="142"/>
      <c r="I471" s="142"/>
      <c r="J471" s="142"/>
      <c r="K471" s="142"/>
      <c r="L471" s="379"/>
      <c r="M471" s="318"/>
    </row>
    <row r="472" customFormat="false" ht="5.1" hidden="false" customHeight="true" outlineLevel="0" collapsed="false">
      <c r="A472" s="167"/>
      <c r="B472" s="142"/>
      <c r="C472" s="142"/>
      <c r="D472" s="142"/>
      <c r="E472" s="142"/>
      <c r="F472" s="142"/>
      <c r="G472" s="142"/>
      <c r="H472" s="142"/>
      <c r="I472" s="142"/>
      <c r="J472" s="142"/>
      <c r="K472" s="142"/>
      <c r="L472" s="379"/>
      <c r="M472" s="318"/>
    </row>
    <row r="473" customFormat="false" ht="14.65" hidden="false" customHeight="true" outlineLevel="0" collapsed="false">
      <c r="A473" s="467" t="s">
        <v>314</v>
      </c>
      <c r="B473" s="467"/>
      <c r="C473" s="467"/>
      <c r="D473" s="467"/>
      <c r="E473" s="467"/>
      <c r="F473" s="467"/>
      <c r="G473" s="467"/>
      <c r="H473" s="467"/>
      <c r="I473" s="467"/>
      <c r="J473" s="467"/>
      <c r="K473" s="467"/>
      <c r="L473" s="467"/>
      <c r="M473" s="318"/>
    </row>
    <row r="474" customFormat="false" ht="5.1" hidden="false" customHeight="true" outlineLevel="0" collapsed="false">
      <c r="A474" s="167"/>
      <c r="B474" s="142"/>
      <c r="C474" s="142"/>
      <c r="D474" s="142"/>
      <c r="E474" s="142"/>
      <c r="F474" s="142"/>
      <c r="G474" s="142"/>
      <c r="H474" s="142"/>
      <c r="I474" s="142"/>
      <c r="J474" s="142"/>
      <c r="K474" s="142"/>
      <c r="L474" s="379"/>
      <c r="M474" s="318"/>
    </row>
    <row r="475" customFormat="false" ht="16.5" hidden="false" customHeight="true" outlineLevel="0" collapsed="false">
      <c r="A475" s="167"/>
      <c r="B475" s="352" t="s">
        <v>225</v>
      </c>
      <c r="C475" s="142"/>
      <c r="D475" s="383" t="s">
        <v>315</v>
      </c>
      <c r="E475" s="383"/>
      <c r="F475" s="388" t="s">
        <v>316</v>
      </c>
      <c r="G475" s="142"/>
      <c r="H475" s="142"/>
      <c r="I475" s="383" t="s">
        <v>317</v>
      </c>
      <c r="J475" s="383"/>
      <c r="K475" s="383"/>
      <c r="L475" s="379"/>
      <c r="M475" s="318"/>
    </row>
    <row r="476" customFormat="false" ht="11.25" hidden="false" customHeight="true" outlineLevel="0" collapsed="false">
      <c r="A476" s="167"/>
      <c r="B476" s="142"/>
      <c r="C476" s="142"/>
      <c r="D476" s="383"/>
      <c r="E476" s="383"/>
      <c r="F476" s="355"/>
      <c r="G476" s="142"/>
      <c r="H476" s="142"/>
      <c r="I476" s="383"/>
      <c r="J476" s="383"/>
      <c r="K476" s="383"/>
      <c r="L476" s="379"/>
      <c r="M476" s="318"/>
      <c r="N476" s="468" t="n">
        <f aca="false">SUM(E480:E490)</f>
        <v>0.07</v>
      </c>
      <c r="P476" s="468" t="n">
        <f aca="false">SUM(J478:J490)</f>
        <v>0.07</v>
      </c>
    </row>
    <row r="477" customFormat="false" ht="6" hidden="false" customHeight="true" outlineLevel="0" collapsed="false">
      <c r="A477" s="167"/>
      <c r="B477" s="142"/>
      <c r="C477" s="142"/>
      <c r="D477" s="383"/>
      <c r="E477" s="383"/>
      <c r="F477" s="355"/>
      <c r="G477" s="142"/>
      <c r="H477" s="142"/>
      <c r="I477" s="383"/>
      <c r="J477" s="383"/>
      <c r="K477" s="383"/>
      <c r="L477" s="379"/>
      <c r="M477" s="318"/>
    </row>
    <row r="478" customFormat="false" ht="13.5" hidden="false" customHeight="true" outlineLevel="0" collapsed="false">
      <c r="A478" s="167"/>
      <c r="B478" s="142"/>
      <c r="C478" s="142"/>
      <c r="D478" s="383"/>
      <c r="E478" s="383"/>
      <c r="F478" s="205" t="s">
        <v>318</v>
      </c>
      <c r="G478" s="403" t="str">
        <f aca="false">IF(K453&gt;60,"X","-")</f>
        <v>-</v>
      </c>
      <c r="H478" s="142"/>
      <c r="I478" s="142"/>
      <c r="J478" s="469"/>
      <c r="K478" s="383"/>
      <c r="L478" s="379"/>
      <c r="M478" s="318"/>
    </row>
    <row r="479" customFormat="false" ht="6" hidden="false" customHeight="true" outlineLevel="0" collapsed="false">
      <c r="A479" s="167"/>
      <c r="B479" s="142"/>
      <c r="C479" s="142"/>
      <c r="D479" s="142"/>
      <c r="E479" s="142"/>
      <c r="K479" s="142"/>
      <c r="L479" s="379"/>
      <c r="M479" s="318"/>
    </row>
    <row r="480" customFormat="false" ht="14.65" hidden="false" customHeight="true" outlineLevel="0" collapsed="false">
      <c r="A480" s="167"/>
      <c r="B480" s="295" t="s">
        <v>319</v>
      </c>
      <c r="C480" s="403" t="str">
        <f aca="false">IF(K451&gt;160,"X","-")</f>
        <v>-</v>
      </c>
      <c r="D480" s="142"/>
      <c r="E480" s="470" t="str">
        <f aca="false">IF($C$49="X"," ",IF(C480="X",N480,IF(C480="-"," ",0)))</f>
        <v> </v>
      </c>
      <c r="F480" s="205" t="s">
        <v>320</v>
      </c>
      <c r="G480" s="403" t="str">
        <f aca="false">IF(K453&gt;60,"-",IF(K453&gt;55,"X","-"))</f>
        <v>-</v>
      </c>
      <c r="H480" s="142"/>
      <c r="I480" s="142"/>
      <c r="J480" s="469" t="str">
        <f aca="false">O480</f>
        <v> </v>
      </c>
      <c r="L480" s="379"/>
      <c r="M480" s="471" t="n">
        <f aca="false">IF(E480=" ",0,IF(G480="x","9%",IF(G478="x","10%",0)))</f>
        <v>0</v>
      </c>
      <c r="N480" s="472" t="n">
        <v>0.09</v>
      </c>
      <c r="O480" s="473" t="str">
        <f aca="false">IF(E480&lt;&gt;" ",IF(K453&gt;60,P480,N480)," ")</f>
        <v> </v>
      </c>
      <c r="P480" s="472" t="n">
        <v>0.1</v>
      </c>
    </row>
    <row r="481" customFormat="false" ht="6" hidden="false" customHeight="true" outlineLevel="0" collapsed="false">
      <c r="A481" s="167"/>
      <c r="B481" s="295"/>
      <c r="C481" s="142"/>
      <c r="D481" s="142"/>
      <c r="E481" s="105"/>
      <c r="F481" s="205"/>
      <c r="G481" s="142"/>
      <c r="H481" s="142"/>
      <c r="I481" s="142"/>
      <c r="J481" s="156"/>
      <c r="L481" s="379"/>
      <c r="M481" s="474"/>
    </row>
    <row r="482" customFormat="false" ht="12.75" hidden="false" customHeight="true" outlineLevel="0" collapsed="false">
      <c r="A482" s="167"/>
      <c r="B482" s="295" t="s">
        <v>321</v>
      </c>
      <c r="C482" s="403" t="str">
        <f aca="false">IF(K451&gt;160,"-",IF(K451&lt;130,"-",IF(K451&lt;160,"X",0)))</f>
        <v>-</v>
      </c>
      <c r="D482" s="142"/>
      <c r="E482" s="470" t="str">
        <f aca="false">IF($C$49="X"," ",IF(C482="X",N482,IF(C482="-"," ",0)))</f>
        <v> </v>
      </c>
      <c r="F482" s="205" t="s">
        <v>322</v>
      </c>
      <c r="G482" s="403" t="str">
        <f aca="false">IF(K453&gt;55,"-",IF(K453&gt;50,"X","-"))</f>
        <v>-</v>
      </c>
      <c r="H482" s="142"/>
      <c r="I482" s="142"/>
      <c r="J482" s="469" t="str">
        <f aca="false">O482</f>
        <v> </v>
      </c>
      <c r="K482" s="475"/>
      <c r="L482" s="379"/>
      <c r="M482" s="471" t="n">
        <f aca="false">IF(E482=" ",0,IF(G480="x","9%",IF(E480="-","8%",0)))</f>
        <v>0</v>
      </c>
      <c r="N482" s="472" t="n">
        <v>0.08</v>
      </c>
      <c r="O482" s="425" t="str">
        <f aca="false">IF(E482&lt;&gt;" ",IF(K453&gt;55,P482,N482)," ")</f>
        <v> </v>
      </c>
      <c r="P482" s="472" t="n">
        <v>0.09</v>
      </c>
    </row>
    <row r="483" customFormat="false" ht="5.1" hidden="false" customHeight="true" outlineLevel="0" collapsed="false">
      <c r="A483" s="167"/>
      <c r="B483" s="295"/>
      <c r="C483" s="142"/>
      <c r="D483" s="142"/>
      <c r="E483" s="105"/>
      <c r="F483" s="205"/>
      <c r="G483" s="142"/>
      <c r="H483" s="142"/>
      <c r="I483" s="142"/>
      <c r="J483" s="156"/>
      <c r="K483" s="142"/>
      <c r="L483" s="379"/>
      <c r="M483" s="471"/>
    </row>
    <row r="484" customFormat="false" ht="14.65" hidden="false" customHeight="true" outlineLevel="0" collapsed="false">
      <c r="A484" s="167"/>
      <c r="B484" s="295" t="s">
        <v>323</v>
      </c>
      <c r="C484" s="403" t="str">
        <f aca="false">IF(K451&gt;130,"-",IF(K451&lt;110,"-",IF(K451&lt;130,"X",0)))</f>
        <v>-</v>
      </c>
      <c r="D484" s="142"/>
      <c r="E484" s="470" t="str">
        <f aca="false">IF($C$49="X"," ",IF(C484="X",N484,IF(C484="-"," ",0)))</f>
        <v> </v>
      </c>
      <c r="F484" s="205" t="s">
        <v>324</v>
      </c>
      <c r="G484" s="403" t="str">
        <f aca="false">IF(K453&gt;50,"-",IF(K453&gt;45,"X","-"))</f>
        <v>-</v>
      </c>
      <c r="H484" s="142"/>
      <c r="I484" s="142"/>
      <c r="J484" s="469" t="str">
        <f aca="false">O484</f>
        <v> </v>
      </c>
      <c r="K484" s="475"/>
      <c r="L484" s="379"/>
      <c r="M484" s="471" t="n">
        <f aca="false">IF(E484=" ",0,IF(G482="x","9%",IF(G480="x","9%",IF(E484="8%","8%",0))))</f>
        <v>0</v>
      </c>
      <c r="N484" s="472" t="n">
        <v>0.08</v>
      </c>
      <c r="O484" s="425" t="str">
        <f aca="false">IF(E484&lt;&gt;" ",IF(K453&gt;50,P484,N484)," ")</f>
        <v> </v>
      </c>
      <c r="P484" s="472" t="n">
        <v>0.09</v>
      </c>
    </row>
    <row r="485" customFormat="false" ht="5.1" hidden="false" customHeight="true" outlineLevel="0" collapsed="false">
      <c r="A485" s="167"/>
      <c r="B485" s="295"/>
      <c r="C485" s="142"/>
      <c r="D485" s="142"/>
      <c r="E485" s="105"/>
      <c r="F485" s="205"/>
      <c r="G485" s="142"/>
      <c r="H485" s="142"/>
      <c r="I485" s="142"/>
      <c r="J485" s="156"/>
      <c r="K485" s="142"/>
      <c r="L485" s="379"/>
      <c r="M485" s="471"/>
    </row>
    <row r="486" customFormat="false" ht="14.65" hidden="false" customHeight="true" outlineLevel="0" collapsed="false">
      <c r="A486" s="167"/>
      <c r="B486" s="295" t="s">
        <v>325</v>
      </c>
      <c r="C486" s="403" t="str">
        <f aca="false">IF(K451&gt;110,"-",IF(K451&lt;95,"-",IF(K451&lt;110,"X",0)))</f>
        <v>-</v>
      </c>
      <c r="D486" s="142"/>
      <c r="E486" s="470" t="str">
        <f aca="false">IF($C$49="X"," ",IF(C486="X",N486,IF(C486="-"," ",0)))</f>
        <v> </v>
      </c>
      <c r="F486" s="205" t="s">
        <v>326</v>
      </c>
      <c r="G486" s="403" t="str">
        <f aca="false">IF(K453&gt;45,"-",IF(K453&gt;40,"X","-"))</f>
        <v>-</v>
      </c>
      <c r="H486" s="142"/>
      <c r="I486" s="142"/>
      <c r="J486" s="469" t="str">
        <f aca="false">O486</f>
        <v> </v>
      </c>
      <c r="K486" s="475"/>
      <c r="L486" s="379"/>
      <c r="M486" s="471" t="n">
        <f aca="false">IF(E486=" ",0,IF(G484="x","8%",IF(G482="x","8%",IF(G480="x","8%",IF(E486="7%","7%",0)))))</f>
        <v>0</v>
      </c>
      <c r="N486" s="472" t="n">
        <v>0.07</v>
      </c>
      <c r="O486" s="425" t="str">
        <f aca="false">IF(E486&lt;&gt;" ",IF(K453&gt;45,P486,N486)," ")</f>
        <v> </v>
      </c>
      <c r="P486" s="472" t="n">
        <v>0.08</v>
      </c>
    </row>
    <row r="487" customFormat="false" ht="5.1" hidden="false" customHeight="true" outlineLevel="0" collapsed="false">
      <c r="A487" s="167"/>
      <c r="B487" s="295"/>
      <c r="C487" s="142"/>
      <c r="D487" s="142"/>
      <c r="E487" s="105"/>
      <c r="F487" s="205"/>
      <c r="G487" s="142"/>
      <c r="H487" s="142"/>
      <c r="I487" s="142"/>
      <c r="J487" s="156"/>
      <c r="K487" s="142"/>
      <c r="L487" s="379"/>
      <c r="M487" s="474"/>
    </row>
    <row r="488" customFormat="false" ht="14.65" hidden="false" customHeight="true" outlineLevel="0" collapsed="false">
      <c r="A488" s="167"/>
      <c r="B488" s="295" t="s">
        <v>327</v>
      </c>
      <c r="C488" s="403" t="str">
        <f aca="false">IF(K451&lt;95,"X","-")</f>
        <v>X</v>
      </c>
      <c r="D488" s="142"/>
      <c r="E488" s="469" t="n">
        <f aca="false">IF($C$49="X"," ",IF(C488="X",N488,IF(C488="-"," ",0)))</f>
        <v>0.07</v>
      </c>
      <c r="F488" s="205" t="s">
        <v>328</v>
      </c>
      <c r="G488" s="403" t="str">
        <f aca="false">IF(K453&lt;=40,"X","-")</f>
        <v>X</v>
      </c>
      <c r="H488" s="142"/>
      <c r="I488" s="142"/>
      <c r="J488" s="469" t="n">
        <f aca="false">O488</f>
        <v>0.07</v>
      </c>
      <c r="K488" s="475"/>
      <c r="L488" s="379"/>
      <c r="M488" s="471" t="n">
        <f aca="false">IF(E488=" ",0,IF(G486="x","8%",IF(G484="x","8%",IF(G482="x","8%",IF(G480="x","8%",IF(E488="7%","7%",0))))))</f>
        <v>0</v>
      </c>
      <c r="N488" s="472" t="n">
        <v>0.07</v>
      </c>
      <c r="O488" s="472" t="n">
        <f aca="false">IF(E488&lt;&gt;" ",IF(K453&gt;40,P488,N488)," ")</f>
        <v>0.07</v>
      </c>
      <c r="P488" s="472" t="n">
        <v>0.08</v>
      </c>
    </row>
    <row r="489" customFormat="false" ht="5.1" hidden="false" customHeight="true" outlineLevel="0" collapsed="false">
      <c r="A489" s="167"/>
      <c r="B489" s="142"/>
      <c r="C489" s="142"/>
      <c r="D489" s="142"/>
      <c r="E489" s="105"/>
      <c r="K489" s="142"/>
      <c r="L489" s="379"/>
      <c r="M489" s="474"/>
    </row>
    <row r="490" customFormat="false" ht="14.65" hidden="false" customHeight="true" outlineLevel="0" collapsed="false">
      <c r="A490" s="167"/>
      <c r="B490" s="295" t="s">
        <v>329</v>
      </c>
      <c r="C490" s="476"/>
      <c r="D490" s="142"/>
      <c r="E490" s="475" t="str">
        <f aca="false">IF(C490="X",N490," ")</f>
        <v> </v>
      </c>
      <c r="J490" s="477" t="str">
        <f aca="false">E490</f>
        <v> </v>
      </c>
      <c r="K490" s="475" t="s">
        <v>330</v>
      </c>
      <c r="L490" s="379"/>
      <c r="M490" s="471" t="n">
        <f aca="false">IF(J490=" ",0,IF(J490="10%",0.1,0))</f>
        <v>0</v>
      </c>
      <c r="N490" s="472" t="n">
        <v>0.1</v>
      </c>
    </row>
    <row r="491" customFormat="false" ht="9" hidden="false" customHeight="true" outlineLevel="0" collapsed="false">
      <c r="A491" s="167"/>
      <c r="B491" s="142"/>
      <c r="C491" s="142"/>
      <c r="D491" s="142"/>
      <c r="E491" s="142"/>
      <c r="F491" s="142"/>
      <c r="G491" s="142"/>
      <c r="H491" s="142"/>
      <c r="I491" s="142"/>
      <c r="J491" s="142"/>
      <c r="K491" s="142"/>
      <c r="L491" s="379"/>
      <c r="M491" s="471" t="n">
        <f aca="false">M480+M482+M484+M486+M488+M490</f>
        <v>0</v>
      </c>
    </row>
    <row r="492" customFormat="false" ht="6" hidden="false" customHeight="true" outlineLevel="0" collapsed="false">
      <c r="A492" s="167"/>
      <c r="B492" s="142"/>
      <c r="C492" s="142"/>
      <c r="D492" s="142"/>
      <c r="E492" s="142"/>
      <c r="F492" s="142"/>
      <c r="G492" s="142"/>
      <c r="H492" s="142"/>
      <c r="I492" s="142"/>
      <c r="J492" s="142"/>
      <c r="K492" s="142"/>
      <c r="L492" s="379"/>
      <c r="M492" s="318"/>
    </row>
    <row r="493" customFormat="false" ht="12.75" hidden="false" customHeight="true" outlineLevel="0" collapsed="false">
      <c r="A493" s="167"/>
      <c r="B493" s="142" t="s">
        <v>331</v>
      </c>
      <c r="C493" s="142"/>
      <c r="D493" s="142"/>
      <c r="E493" s="142"/>
      <c r="F493" s="142"/>
      <c r="G493" s="476"/>
      <c r="H493" s="142"/>
      <c r="I493" s="142"/>
      <c r="J493" s="142"/>
      <c r="K493" s="142"/>
      <c r="L493" s="379"/>
      <c r="M493" s="318"/>
      <c r="N493" s="425" t="n">
        <f aca="false">IF(G493="X",1,0)</f>
        <v>0</v>
      </c>
    </row>
    <row r="494" customFormat="false" ht="6" hidden="false" customHeight="true" outlineLevel="0" collapsed="false">
      <c r="A494" s="167"/>
      <c r="B494" s="142"/>
      <c r="C494" s="142"/>
      <c r="D494" s="142"/>
      <c r="E494" s="142"/>
      <c r="F494" s="142"/>
      <c r="G494" s="295"/>
      <c r="H494" s="142"/>
      <c r="I494" s="142"/>
      <c r="J494" s="142"/>
      <c r="K494" s="142"/>
      <c r="L494" s="379"/>
      <c r="M494" s="318"/>
    </row>
    <row r="495" customFormat="false" ht="14.65" hidden="false" customHeight="true" outlineLevel="0" collapsed="false">
      <c r="A495" s="167"/>
      <c r="B495" s="142" t="s">
        <v>332</v>
      </c>
      <c r="C495" s="142"/>
      <c r="D495" s="142"/>
      <c r="E495" s="142"/>
      <c r="F495" s="142"/>
      <c r="G495" s="476" t="s">
        <v>238</v>
      </c>
      <c r="H495" s="142"/>
      <c r="I495" s="142"/>
      <c r="J495" s="142"/>
      <c r="K495" s="142"/>
      <c r="L495" s="379"/>
      <c r="M495" s="318"/>
      <c r="N495" s="425" t="n">
        <f aca="false">IF(G495="X",1,0)</f>
        <v>0</v>
      </c>
    </row>
    <row r="496" customFormat="false" ht="5.1" hidden="false" customHeight="true" outlineLevel="0" collapsed="false">
      <c r="A496" s="167"/>
      <c r="B496" s="142"/>
      <c r="C496" s="142"/>
      <c r="D496" s="142"/>
      <c r="E496" s="142"/>
      <c r="F496" s="142"/>
      <c r="G496" s="295"/>
      <c r="H496" s="142"/>
      <c r="I496" s="142"/>
      <c r="J496" s="142"/>
      <c r="K496" s="142"/>
      <c r="L496" s="379"/>
      <c r="M496" s="318"/>
    </row>
    <row r="497" customFormat="false" ht="12.75" hidden="false" customHeight="true" outlineLevel="0" collapsed="false">
      <c r="A497" s="167"/>
      <c r="B497" s="142" t="s">
        <v>333</v>
      </c>
      <c r="C497" s="142"/>
      <c r="D497" s="142"/>
      <c r="E497" s="142"/>
      <c r="F497" s="142"/>
      <c r="G497" s="476"/>
      <c r="H497" s="142"/>
      <c r="I497" s="142"/>
      <c r="J497" s="142"/>
      <c r="K497" s="142"/>
      <c r="L497" s="379"/>
      <c r="M497" s="318"/>
      <c r="N497" s="425" t="n">
        <f aca="false">IF(G497="X",1,0)</f>
        <v>0</v>
      </c>
    </row>
    <row r="498" customFormat="false" ht="4.5" hidden="false" customHeight="true" outlineLevel="0" collapsed="false">
      <c r="A498" s="167"/>
      <c r="B498" s="142"/>
      <c r="C498" s="142"/>
      <c r="D498" s="142"/>
      <c r="E498" s="142"/>
      <c r="F498" s="142"/>
      <c r="G498" s="142"/>
      <c r="H498" s="142"/>
      <c r="I498" s="142"/>
      <c r="J498" s="142"/>
      <c r="K498" s="142"/>
      <c r="L498" s="379"/>
      <c r="M498" s="318"/>
    </row>
    <row r="499" customFormat="false" ht="15" hidden="false" customHeight="true" outlineLevel="0" collapsed="false">
      <c r="A499" s="167"/>
      <c r="B499" s="142" t="s">
        <v>334</v>
      </c>
      <c r="C499" s="142"/>
      <c r="D499" s="142"/>
      <c r="E499" s="142"/>
      <c r="F499" s="142"/>
      <c r="G499" s="142"/>
      <c r="H499" s="142"/>
      <c r="I499" s="142"/>
      <c r="J499" s="142"/>
      <c r="K499" s="478" t="n">
        <f aca="false">IF(N499&gt;0,O499-0.01,O499)</f>
        <v>0.07</v>
      </c>
      <c r="L499" s="478"/>
      <c r="M499" s="318"/>
      <c r="N499" s="425" t="n">
        <f aca="false">N493+N495+N497</f>
        <v>0</v>
      </c>
      <c r="O499" s="473" t="n">
        <f aca="false">IF(J490&lt;&gt;" ",J490,P476)</f>
        <v>0.07</v>
      </c>
    </row>
    <row r="500" customFormat="false" ht="4.5" hidden="false" customHeight="true" outlineLevel="0" collapsed="false">
      <c r="A500" s="167"/>
      <c r="B500" s="142"/>
      <c r="C500" s="142"/>
      <c r="D500" s="142"/>
      <c r="E500" s="142"/>
      <c r="F500" s="142"/>
      <c r="G500" s="142"/>
      <c r="H500" s="142"/>
      <c r="I500" s="142"/>
      <c r="J500" s="142"/>
      <c r="K500" s="142"/>
      <c r="L500" s="379"/>
      <c r="M500" s="318"/>
    </row>
    <row r="501" customFormat="false" ht="4.5" hidden="false" customHeight="true" outlineLevel="0" collapsed="false">
      <c r="A501" s="167"/>
      <c r="B501" s="142"/>
      <c r="C501" s="142"/>
      <c r="D501" s="142"/>
      <c r="E501" s="142"/>
      <c r="F501" s="142"/>
      <c r="G501" s="142"/>
      <c r="H501" s="142"/>
      <c r="I501" s="142"/>
      <c r="J501" s="142"/>
      <c r="K501" s="142"/>
      <c r="L501" s="379"/>
      <c r="M501" s="318"/>
    </row>
    <row r="502" customFormat="false" ht="12.75" hidden="false" customHeight="true" outlineLevel="0" collapsed="false">
      <c r="A502" s="467" t="s">
        <v>335</v>
      </c>
      <c r="B502" s="467"/>
      <c r="C502" s="467"/>
      <c r="D502" s="467"/>
      <c r="E502" s="467"/>
      <c r="F502" s="467"/>
      <c r="G502" s="467"/>
      <c r="H502" s="467"/>
      <c r="I502" s="467"/>
      <c r="J502" s="467"/>
      <c r="K502" s="467"/>
      <c r="L502" s="467"/>
      <c r="M502" s="318"/>
    </row>
    <row r="503" customFormat="false" ht="6" hidden="false" customHeight="true" outlineLevel="0" collapsed="false">
      <c r="A503" s="167"/>
      <c r="B503" s="142"/>
      <c r="C503" s="142"/>
      <c r="D503" s="142"/>
      <c r="E503" s="142"/>
      <c r="F503" s="142"/>
      <c r="G503" s="142"/>
      <c r="H503" s="142"/>
      <c r="I503" s="142"/>
      <c r="J503" s="142"/>
      <c r="K503" s="142"/>
      <c r="L503" s="379"/>
      <c r="M503" s="318"/>
    </row>
    <row r="504" customFormat="false" ht="18" hidden="false" customHeight="true" outlineLevel="0" collapsed="false">
      <c r="A504" s="167"/>
      <c r="B504" s="142" t="s">
        <v>336</v>
      </c>
      <c r="C504" s="142"/>
      <c r="D504" s="142"/>
      <c r="E504" s="142"/>
      <c r="F504" s="142"/>
      <c r="G504" s="142"/>
      <c r="H504" s="142" t="s">
        <v>169</v>
      </c>
      <c r="I504" s="479" t="n">
        <f aca="false">K470</f>
        <v>0</v>
      </c>
      <c r="J504" s="479"/>
      <c r="K504" s="479"/>
      <c r="L504" s="479"/>
      <c r="M504" s="318"/>
    </row>
    <row r="505" customFormat="false" ht="5.1" hidden="false" customHeight="true" outlineLevel="0" collapsed="false">
      <c r="A505" s="167"/>
      <c r="B505" s="142"/>
      <c r="C505" s="142"/>
      <c r="D505" s="142"/>
      <c r="E505" s="142"/>
      <c r="F505" s="142"/>
      <c r="G505" s="142"/>
      <c r="H505" s="142"/>
      <c r="I505" s="142"/>
      <c r="J505" s="142"/>
      <c r="K505" s="142"/>
      <c r="L505" s="379"/>
      <c r="M505" s="318"/>
    </row>
    <row r="506" customFormat="false" ht="18" hidden="false" customHeight="true" outlineLevel="0" collapsed="false">
      <c r="A506" s="167"/>
      <c r="B506" s="142" t="s">
        <v>337</v>
      </c>
      <c r="C506" s="142"/>
      <c r="D506" s="142"/>
      <c r="E506" s="142"/>
      <c r="F506" s="142"/>
      <c r="G506" s="142"/>
      <c r="H506" s="142" t="s">
        <v>338</v>
      </c>
      <c r="I506" s="480" t="n">
        <f aca="false">K499</f>
        <v>0.07</v>
      </c>
      <c r="J506" s="480"/>
      <c r="K506" s="480"/>
      <c r="L506" s="480"/>
      <c r="M506" s="318"/>
    </row>
    <row r="507" customFormat="false" ht="5.1" hidden="false" customHeight="true" outlineLevel="0" collapsed="false">
      <c r="A507" s="167"/>
      <c r="B507" s="142"/>
      <c r="C507" s="142"/>
      <c r="D507" s="142"/>
      <c r="E507" s="142"/>
      <c r="F507" s="142"/>
      <c r="G507" s="142"/>
      <c r="H507" s="142"/>
      <c r="I507" s="142"/>
      <c r="J507" s="142"/>
      <c r="K507" s="142"/>
      <c r="L507" s="379"/>
      <c r="M507" s="318"/>
    </row>
    <row r="508" customFormat="false" ht="18" hidden="false" customHeight="true" outlineLevel="0" collapsed="false">
      <c r="A508" s="481"/>
      <c r="B508" s="197" t="s">
        <v>339</v>
      </c>
      <c r="C508" s="197"/>
      <c r="D508" s="197"/>
      <c r="E508" s="197"/>
      <c r="F508" s="197"/>
      <c r="G508" s="197"/>
      <c r="H508" s="197" t="s">
        <v>169</v>
      </c>
      <c r="I508" s="482" t="n">
        <f aca="false">I504*I506</f>
        <v>0</v>
      </c>
      <c r="J508" s="482"/>
      <c r="K508" s="482"/>
      <c r="L508" s="482"/>
      <c r="M508" s="318"/>
    </row>
    <row r="509" s="112" customFormat="true" ht="28.35" hidden="false" customHeight="true" outlineLevel="0" collapsed="false">
      <c r="A509" s="483"/>
      <c r="B509" s="484"/>
      <c r="C509" s="484"/>
      <c r="D509" s="484"/>
      <c r="E509" s="484"/>
      <c r="F509" s="484"/>
      <c r="G509" s="484"/>
      <c r="H509" s="484"/>
      <c r="I509" s="484"/>
      <c r="J509" s="484"/>
      <c r="K509" s="484"/>
      <c r="L509" s="485"/>
      <c r="M509" s="430"/>
      <c r="N509" s="118"/>
      <c r="O509" s="118"/>
      <c r="P509" s="118"/>
      <c r="Q509" s="118"/>
      <c r="R509" s="118"/>
    </row>
    <row r="510" s="112" customFormat="true" ht="18.15" hidden="false" customHeight="true" outlineLevel="0" collapsed="false">
      <c r="A510" s="432" t="s">
        <v>161</v>
      </c>
      <c r="B510" s="433"/>
      <c r="C510" s="433"/>
      <c r="D510" s="433"/>
      <c r="E510" s="433"/>
      <c r="F510" s="434" t="s">
        <v>162</v>
      </c>
      <c r="G510" s="435"/>
      <c r="H510" s="435"/>
      <c r="I510" s="123"/>
      <c r="J510" s="436"/>
      <c r="K510" s="434" t="s">
        <v>297</v>
      </c>
      <c r="L510" s="437"/>
      <c r="M510" s="430"/>
      <c r="N510" s="118"/>
      <c r="O510" s="118"/>
      <c r="P510" s="118"/>
      <c r="Q510" s="118"/>
      <c r="R510" s="118"/>
    </row>
    <row r="511" s="112" customFormat="true" ht="9.75" hidden="false" customHeight="true" outlineLevel="0" collapsed="false">
      <c r="A511" s="438"/>
      <c r="B511" s="439"/>
      <c r="C511" s="440"/>
      <c r="D511" s="440"/>
      <c r="E511" s="123"/>
      <c r="F511" s="440"/>
      <c r="G511" s="434"/>
      <c r="H511" s="440"/>
      <c r="I511" s="123"/>
      <c r="J511" s="434"/>
      <c r="K511" s="441"/>
      <c r="L511" s="441"/>
      <c r="M511" s="430"/>
      <c r="N511" s="118"/>
      <c r="O511" s="118"/>
      <c r="P511" s="118"/>
      <c r="Q511" s="118"/>
      <c r="R511" s="118"/>
    </row>
    <row r="512" customFormat="false" ht="14.65" hidden="false" customHeight="true" outlineLevel="0" collapsed="false">
      <c r="A512" s="442" t="s">
        <v>298</v>
      </c>
      <c r="B512" s="442"/>
      <c r="C512" s="442"/>
      <c r="D512" s="442"/>
      <c r="E512" s="442"/>
      <c r="F512" s="442"/>
      <c r="G512" s="442"/>
      <c r="H512" s="442"/>
      <c r="I512" s="442"/>
      <c r="J512" s="442"/>
      <c r="K512" s="442"/>
      <c r="L512" s="442"/>
      <c r="M512" s="318"/>
    </row>
    <row r="513" customFormat="false" ht="9" hidden="false" customHeight="true" outlineLevel="0" collapsed="false">
      <c r="A513" s="443"/>
      <c r="B513" s="444"/>
      <c r="C513" s="101"/>
      <c r="D513" s="101"/>
      <c r="E513" s="101"/>
      <c r="F513" s="101"/>
      <c r="G513" s="101"/>
      <c r="H513" s="101"/>
      <c r="I513" s="101"/>
      <c r="J513" s="101"/>
      <c r="K513" s="101"/>
      <c r="L513" s="445"/>
    </row>
    <row r="514" customFormat="false" ht="12.75" hidden="false" customHeight="true" outlineLevel="0" collapsed="false">
      <c r="A514" s="443"/>
      <c r="B514" s="446" t="s">
        <v>299</v>
      </c>
      <c r="C514" s="101"/>
      <c r="D514" s="101"/>
      <c r="E514" s="101"/>
      <c r="F514" s="101"/>
      <c r="G514" s="101"/>
      <c r="H514" s="101"/>
      <c r="I514" s="101"/>
      <c r="J514" s="101"/>
      <c r="K514" s="447"/>
      <c r="L514" s="448"/>
    </row>
    <row r="515" customFormat="false" ht="9" hidden="false" customHeight="true" outlineLevel="0" collapsed="false">
      <c r="A515" s="443"/>
      <c r="B515" s="444"/>
      <c r="C515" s="101"/>
      <c r="D515" s="101"/>
      <c r="E515" s="101"/>
      <c r="F515" s="101"/>
      <c r="G515" s="101"/>
      <c r="H515" s="101"/>
      <c r="I515" s="101"/>
      <c r="J515" s="101"/>
      <c r="K515" s="449"/>
      <c r="L515" s="448"/>
    </row>
    <row r="516" customFormat="false" ht="12.75" hidden="false" customHeight="true" outlineLevel="0" collapsed="false">
      <c r="A516" s="443"/>
      <c r="B516" s="446" t="s">
        <v>300</v>
      </c>
      <c r="C516" s="101"/>
      <c r="D516" s="101"/>
      <c r="E516" s="101"/>
      <c r="F516" s="101"/>
      <c r="G516" s="101"/>
      <c r="H516" s="101"/>
      <c r="I516" s="101"/>
      <c r="J516" s="101"/>
      <c r="K516" s="447"/>
      <c r="L516" s="448"/>
    </row>
    <row r="517" customFormat="false" ht="6.75" hidden="false" customHeight="true" outlineLevel="0" collapsed="false">
      <c r="A517" s="443"/>
      <c r="B517" s="444"/>
      <c r="C517" s="101"/>
      <c r="D517" s="101"/>
      <c r="E517" s="101"/>
      <c r="F517" s="101"/>
      <c r="G517" s="101"/>
      <c r="H517" s="101"/>
      <c r="I517" s="101"/>
      <c r="J517" s="101"/>
      <c r="K517" s="101"/>
      <c r="L517" s="450"/>
    </row>
    <row r="518" customFormat="false" ht="12.75" hidden="false" customHeight="true" outlineLevel="0" collapsed="false">
      <c r="A518" s="443" t="s">
        <v>301</v>
      </c>
      <c r="B518" s="101" t="s">
        <v>302</v>
      </c>
      <c r="C518" s="101"/>
      <c r="D518" s="101"/>
      <c r="E518" s="101"/>
      <c r="F518" s="101"/>
      <c r="G518" s="101"/>
      <c r="H518" s="101"/>
      <c r="I518" s="101"/>
      <c r="J518" s="444" t="s">
        <v>205</v>
      </c>
      <c r="K518" s="447"/>
      <c r="L518" s="448"/>
      <c r="M518" s="318"/>
    </row>
    <row r="519" customFormat="false" ht="9" hidden="false" customHeight="true" outlineLevel="0" collapsed="false">
      <c r="A519" s="443"/>
      <c r="B519" s="101"/>
      <c r="C519" s="101"/>
      <c r="D519" s="101"/>
      <c r="E519" s="101"/>
      <c r="F519" s="101"/>
      <c r="G519" s="101"/>
      <c r="H519" s="101"/>
      <c r="I519" s="101"/>
      <c r="J519" s="444"/>
      <c r="K519" s="101"/>
      <c r="L519" s="450"/>
      <c r="M519" s="318"/>
    </row>
    <row r="520" customFormat="false" ht="12.75" hidden="false" customHeight="true" outlineLevel="0" collapsed="false">
      <c r="A520" s="443"/>
      <c r="B520" s="451" t="s">
        <v>303</v>
      </c>
      <c r="C520" s="451"/>
      <c r="D520" s="451"/>
      <c r="E520" s="101"/>
      <c r="F520" s="101"/>
      <c r="G520" s="101"/>
      <c r="H520" s="101"/>
      <c r="I520" s="101"/>
      <c r="J520" s="444"/>
      <c r="K520" s="101"/>
      <c r="L520" s="452"/>
      <c r="M520" s="318"/>
    </row>
    <row r="521" customFormat="false" ht="12.75" hidden="false" customHeight="true" outlineLevel="0" collapsed="false">
      <c r="A521" s="453" t="s">
        <v>304</v>
      </c>
      <c r="B521" s="451"/>
      <c r="C521" s="451"/>
      <c r="D521" s="451"/>
      <c r="E521" s="101" t="s">
        <v>205</v>
      </c>
      <c r="F521" s="454"/>
      <c r="G521" s="444" t="s">
        <v>305</v>
      </c>
      <c r="H521" s="101" t="n">
        <v>0.6</v>
      </c>
      <c r="I521" s="101" t="s">
        <v>306</v>
      </c>
      <c r="J521" s="444" t="s">
        <v>205</v>
      </c>
      <c r="K521" s="455" t="n">
        <f aca="false">IF(F521&gt;0,F521*H521,0)</f>
        <v>0</v>
      </c>
      <c r="L521" s="456"/>
      <c r="M521" s="318"/>
    </row>
    <row r="522" customFormat="false" ht="6" hidden="false" customHeight="true" outlineLevel="0" collapsed="false">
      <c r="A522" s="443"/>
      <c r="B522" s="101"/>
      <c r="C522" s="101"/>
      <c r="D522" s="101"/>
      <c r="E522" s="101"/>
      <c r="F522" s="101"/>
      <c r="G522" s="101"/>
      <c r="H522" s="101"/>
      <c r="I522" s="101"/>
      <c r="J522" s="444"/>
      <c r="K522" s="101"/>
      <c r="L522" s="450"/>
      <c r="M522" s="318"/>
    </row>
    <row r="523" customFormat="false" ht="14.65" hidden="false" customHeight="true" outlineLevel="0" collapsed="false">
      <c r="A523" s="443"/>
      <c r="B523" s="101"/>
      <c r="C523" s="101"/>
      <c r="D523" s="101"/>
      <c r="E523" s="101"/>
      <c r="F523" s="101"/>
      <c r="G523" s="101"/>
      <c r="H523" s="101"/>
      <c r="I523" s="101"/>
      <c r="J523" s="444"/>
      <c r="K523" s="101"/>
      <c r="L523" s="450"/>
      <c r="M523" s="318"/>
    </row>
    <row r="524" customFormat="false" ht="12.75" hidden="false" customHeight="true" outlineLevel="0" collapsed="false">
      <c r="A524" s="443"/>
      <c r="B524" s="157"/>
      <c r="C524" s="101"/>
      <c r="D524" s="101"/>
      <c r="E524" s="101"/>
      <c r="F524" s="101"/>
      <c r="G524" s="101"/>
      <c r="H524" s="101"/>
      <c r="I524" s="101"/>
      <c r="J524" s="444"/>
      <c r="K524" s="457"/>
      <c r="L524" s="448"/>
      <c r="M524" s="318"/>
    </row>
    <row r="525" customFormat="false" ht="8.25" hidden="false" customHeight="true" outlineLevel="0" collapsed="false">
      <c r="A525" s="443"/>
      <c r="B525" s="157"/>
      <c r="C525" s="101"/>
      <c r="D525" s="101"/>
      <c r="E525" s="101"/>
      <c r="F525" s="101"/>
      <c r="G525" s="101"/>
      <c r="H525" s="101"/>
      <c r="I525" s="101"/>
      <c r="J525" s="444"/>
      <c r="K525" s="101"/>
      <c r="L525" s="450"/>
      <c r="M525" s="318"/>
    </row>
    <row r="526" customFormat="false" ht="12.75" hidden="false" customHeight="true" outlineLevel="0" collapsed="false">
      <c r="A526" s="443" t="s">
        <v>307</v>
      </c>
      <c r="B526" s="101" t="s">
        <v>308</v>
      </c>
      <c r="C526" s="101"/>
      <c r="D526" s="101"/>
      <c r="E526" s="101"/>
      <c r="F526" s="101"/>
      <c r="G526" s="101"/>
      <c r="H526" s="101"/>
      <c r="I526" s="101"/>
      <c r="J526" s="444" t="s">
        <v>205</v>
      </c>
      <c r="K526" s="458" t="n">
        <f aca="false">K518+K521+K524</f>
        <v>0</v>
      </c>
      <c r="L526" s="459"/>
      <c r="M526" s="318"/>
    </row>
    <row r="527" customFormat="false" ht="8.25" hidden="false" customHeight="true" outlineLevel="0" collapsed="false">
      <c r="A527" s="443"/>
      <c r="B527" s="101"/>
      <c r="C527" s="101"/>
      <c r="D527" s="101"/>
      <c r="E527" s="101"/>
      <c r="F527" s="101"/>
      <c r="G527" s="101"/>
      <c r="H527" s="101"/>
      <c r="I527" s="101"/>
      <c r="J527" s="444"/>
      <c r="K527" s="101"/>
      <c r="L527" s="450"/>
      <c r="M527" s="318"/>
    </row>
    <row r="528" customFormat="false" ht="14.65" hidden="false" customHeight="true" outlineLevel="0" collapsed="false">
      <c r="A528" s="443" t="s">
        <v>309</v>
      </c>
      <c r="B528" s="101" t="s">
        <v>310</v>
      </c>
      <c r="C528" s="101"/>
      <c r="D528" s="101"/>
      <c r="E528" s="101"/>
      <c r="F528" s="101"/>
      <c r="G528" s="101"/>
      <c r="H528" s="101"/>
      <c r="I528" s="101"/>
      <c r="J528" s="444"/>
      <c r="K528" s="101"/>
      <c r="L528" s="450"/>
      <c r="M528" s="318"/>
    </row>
    <row r="529" customFormat="false" ht="12.75" hidden="false" customHeight="true" outlineLevel="0" collapsed="false">
      <c r="A529" s="443"/>
      <c r="B529" s="157" t="s">
        <v>311</v>
      </c>
      <c r="C529" s="101"/>
      <c r="D529" s="101"/>
      <c r="E529" s="101"/>
      <c r="F529" s="101"/>
      <c r="G529" s="101"/>
      <c r="H529" s="101"/>
      <c r="I529" s="101"/>
      <c r="J529" s="444" t="s">
        <v>206</v>
      </c>
      <c r="K529" s="455" t="n">
        <f aca="false">'costo-mq'!$O$82</f>
        <v>312.7311</v>
      </c>
      <c r="L529" s="456"/>
    </row>
    <row r="530" customFormat="false" ht="6" hidden="false" customHeight="true" outlineLevel="0" collapsed="false">
      <c r="A530" s="443"/>
      <c r="B530" s="101"/>
      <c r="C530" s="101"/>
      <c r="D530" s="101"/>
      <c r="E530" s="101"/>
      <c r="F530" s="101"/>
      <c r="G530" s="101"/>
      <c r="H530" s="101"/>
      <c r="I530" s="101"/>
      <c r="J530" s="444"/>
      <c r="K530" s="154"/>
      <c r="L530" s="460"/>
      <c r="M530" s="318"/>
    </row>
    <row r="531" customFormat="false" ht="18" hidden="false" customHeight="true" outlineLevel="0" collapsed="false">
      <c r="A531" s="443"/>
      <c r="B531" s="101"/>
      <c r="C531" s="101"/>
      <c r="D531" s="101"/>
      <c r="E531" s="101"/>
      <c r="F531" s="101"/>
      <c r="G531" s="101"/>
      <c r="H531" s="461"/>
      <c r="I531" s="101"/>
      <c r="J531" s="444"/>
      <c r="K531" s="154"/>
      <c r="L531" s="460"/>
      <c r="M531" s="462"/>
    </row>
    <row r="532" customFormat="false" ht="6" hidden="false" customHeight="true" outlineLevel="0" collapsed="false">
      <c r="A532" s="443"/>
      <c r="B532" s="101"/>
      <c r="C532" s="101"/>
      <c r="D532" s="101"/>
      <c r="E532" s="101"/>
      <c r="F532" s="101"/>
      <c r="G532" s="101"/>
      <c r="H532" s="101"/>
      <c r="I532" s="101"/>
      <c r="J532" s="444"/>
      <c r="K532" s="154"/>
      <c r="L532" s="463"/>
      <c r="M532" s="318"/>
    </row>
    <row r="533" customFormat="false" ht="12.75" hidden="false" customHeight="true" outlineLevel="0" collapsed="false">
      <c r="A533" s="443" t="s">
        <v>312</v>
      </c>
      <c r="B533" s="464" t="s">
        <v>313</v>
      </c>
      <c r="C533" s="465"/>
      <c r="D533" s="465"/>
      <c r="E533" s="465"/>
      <c r="F533" s="465"/>
      <c r="G533" s="465"/>
      <c r="H533" s="465"/>
      <c r="I533" s="465"/>
      <c r="J533" s="466" t="s">
        <v>169</v>
      </c>
      <c r="K533" s="458" t="n">
        <f aca="false">K526*K529</f>
        <v>0</v>
      </c>
      <c r="L533" s="459"/>
      <c r="M533" s="318"/>
    </row>
    <row r="534" customFormat="false" ht="14.65" hidden="false" customHeight="true" outlineLevel="0" collapsed="false">
      <c r="A534" s="167"/>
      <c r="B534" s="142"/>
      <c r="C534" s="142"/>
      <c r="D534" s="142"/>
      <c r="E534" s="142"/>
      <c r="F534" s="142"/>
      <c r="G534" s="142"/>
      <c r="H534" s="142"/>
      <c r="I534" s="142"/>
      <c r="J534" s="142"/>
      <c r="K534" s="142"/>
      <c r="L534" s="379"/>
      <c r="M534" s="318"/>
    </row>
    <row r="535" customFormat="false" ht="5.1" hidden="false" customHeight="true" outlineLevel="0" collapsed="false">
      <c r="A535" s="167"/>
      <c r="B535" s="142"/>
      <c r="C535" s="142"/>
      <c r="D535" s="142"/>
      <c r="E535" s="142"/>
      <c r="F535" s="142"/>
      <c r="G535" s="142"/>
      <c r="H535" s="142"/>
      <c r="I535" s="142"/>
      <c r="J535" s="142"/>
      <c r="K535" s="142"/>
      <c r="L535" s="379"/>
      <c r="M535" s="318"/>
    </row>
    <row r="536" customFormat="false" ht="14.65" hidden="false" customHeight="true" outlineLevel="0" collapsed="false">
      <c r="A536" s="467" t="s">
        <v>314</v>
      </c>
      <c r="B536" s="467"/>
      <c r="C536" s="467"/>
      <c r="D536" s="467"/>
      <c r="E536" s="467"/>
      <c r="F536" s="467"/>
      <c r="G536" s="467"/>
      <c r="H536" s="467"/>
      <c r="I536" s="467"/>
      <c r="J536" s="467"/>
      <c r="K536" s="467"/>
      <c r="L536" s="467"/>
      <c r="M536" s="318"/>
    </row>
    <row r="537" customFormat="false" ht="5.1" hidden="false" customHeight="true" outlineLevel="0" collapsed="false">
      <c r="A537" s="167"/>
      <c r="B537" s="142"/>
      <c r="C537" s="142"/>
      <c r="D537" s="142"/>
      <c r="E537" s="142"/>
      <c r="F537" s="142"/>
      <c r="G537" s="142"/>
      <c r="H537" s="142"/>
      <c r="I537" s="142"/>
      <c r="J537" s="142"/>
      <c r="K537" s="142"/>
      <c r="L537" s="379"/>
      <c r="M537" s="318"/>
    </row>
    <row r="538" customFormat="false" ht="16.5" hidden="false" customHeight="true" outlineLevel="0" collapsed="false">
      <c r="A538" s="167"/>
      <c r="B538" s="352" t="s">
        <v>225</v>
      </c>
      <c r="C538" s="142"/>
      <c r="D538" s="383" t="s">
        <v>315</v>
      </c>
      <c r="E538" s="383"/>
      <c r="F538" s="388" t="s">
        <v>316</v>
      </c>
      <c r="G538" s="142"/>
      <c r="H538" s="142"/>
      <c r="I538" s="383" t="s">
        <v>317</v>
      </c>
      <c r="J538" s="383"/>
      <c r="K538" s="383"/>
      <c r="L538" s="379"/>
      <c r="M538" s="318"/>
    </row>
    <row r="539" customFormat="false" ht="11.25" hidden="false" customHeight="true" outlineLevel="0" collapsed="false">
      <c r="A539" s="167"/>
      <c r="B539" s="142"/>
      <c r="C539" s="142"/>
      <c r="D539" s="383"/>
      <c r="E539" s="383"/>
      <c r="F539" s="355"/>
      <c r="G539" s="142"/>
      <c r="H539" s="142"/>
      <c r="I539" s="383"/>
      <c r="J539" s="383"/>
      <c r="K539" s="383"/>
      <c r="L539" s="379"/>
      <c r="M539" s="318"/>
      <c r="N539" s="468" t="n">
        <f aca="false">SUM(E543:E553)</f>
        <v>0.07</v>
      </c>
      <c r="P539" s="468" t="n">
        <f aca="false">SUM(J541:J553)</f>
        <v>0.07</v>
      </c>
    </row>
    <row r="540" customFormat="false" ht="6" hidden="false" customHeight="true" outlineLevel="0" collapsed="false">
      <c r="A540" s="167"/>
      <c r="B540" s="142"/>
      <c r="C540" s="142"/>
      <c r="D540" s="383"/>
      <c r="E540" s="383"/>
      <c r="F540" s="355"/>
      <c r="G540" s="142"/>
      <c r="H540" s="142"/>
      <c r="I540" s="383"/>
      <c r="J540" s="383"/>
      <c r="K540" s="383"/>
      <c r="L540" s="379"/>
      <c r="M540" s="318"/>
    </row>
    <row r="541" customFormat="false" ht="13.5" hidden="false" customHeight="true" outlineLevel="0" collapsed="false">
      <c r="A541" s="167"/>
      <c r="B541" s="142"/>
      <c r="C541" s="142"/>
      <c r="D541" s="383"/>
      <c r="E541" s="383"/>
      <c r="F541" s="205" t="s">
        <v>318</v>
      </c>
      <c r="G541" s="403" t="str">
        <f aca="false">IF(K516&gt;60,"X","-")</f>
        <v>-</v>
      </c>
      <c r="H541" s="142"/>
      <c r="I541" s="142"/>
      <c r="J541" s="469"/>
      <c r="K541" s="383"/>
      <c r="L541" s="379"/>
      <c r="M541" s="318"/>
    </row>
    <row r="542" customFormat="false" ht="6" hidden="false" customHeight="true" outlineLevel="0" collapsed="false">
      <c r="A542" s="167"/>
      <c r="B542" s="142"/>
      <c r="C542" s="142"/>
      <c r="D542" s="142"/>
      <c r="E542" s="142"/>
      <c r="K542" s="142"/>
      <c r="L542" s="379"/>
      <c r="M542" s="318"/>
    </row>
    <row r="543" customFormat="false" ht="14.65" hidden="false" customHeight="true" outlineLevel="0" collapsed="false">
      <c r="A543" s="167"/>
      <c r="B543" s="295" t="s">
        <v>319</v>
      </c>
      <c r="C543" s="403" t="str">
        <f aca="false">IF(K514&gt;160,"X","-")</f>
        <v>-</v>
      </c>
      <c r="D543" s="142"/>
      <c r="E543" s="470" t="str">
        <f aca="false">IF($C$49="X"," ",IF(C543="X",N543,IF(C543="-"," ",0)))</f>
        <v> </v>
      </c>
      <c r="F543" s="205" t="s">
        <v>320</v>
      </c>
      <c r="G543" s="403" t="str">
        <f aca="false">IF(K516&gt;60,"-",IF(K516&gt;55,"X","-"))</f>
        <v>-</v>
      </c>
      <c r="H543" s="142"/>
      <c r="I543" s="142"/>
      <c r="J543" s="469" t="str">
        <f aca="false">O543</f>
        <v> </v>
      </c>
      <c r="L543" s="379"/>
      <c r="M543" s="471" t="n">
        <f aca="false">IF(E543=" ",0,IF(G543="x","9%",IF(G541="x","10%",0)))</f>
        <v>0</v>
      </c>
      <c r="N543" s="472" t="n">
        <v>0.09</v>
      </c>
      <c r="O543" s="473" t="str">
        <f aca="false">IF(E543&lt;&gt;" ",IF(K516&gt;60,P543,N543)," ")</f>
        <v> </v>
      </c>
      <c r="P543" s="472" t="n">
        <v>0.1</v>
      </c>
    </row>
    <row r="544" customFormat="false" ht="6" hidden="false" customHeight="true" outlineLevel="0" collapsed="false">
      <c r="A544" s="167"/>
      <c r="B544" s="295"/>
      <c r="C544" s="142"/>
      <c r="D544" s="142"/>
      <c r="E544" s="105"/>
      <c r="F544" s="205"/>
      <c r="G544" s="142"/>
      <c r="H544" s="142"/>
      <c r="I544" s="142"/>
      <c r="J544" s="156"/>
      <c r="L544" s="379"/>
      <c r="M544" s="474"/>
    </row>
    <row r="545" customFormat="false" ht="12.75" hidden="false" customHeight="true" outlineLevel="0" collapsed="false">
      <c r="A545" s="167"/>
      <c r="B545" s="295" t="s">
        <v>321</v>
      </c>
      <c r="C545" s="403" t="str">
        <f aca="false">IF(K514&gt;160,"-",IF(K514&lt;130,"-",IF(K514&lt;160,"X",0)))</f>
        <v>-</v>
      </c>
      <c r="D545" s="142"/>
      <c r="E545" s="470" t="str">
        <f aca="false">IF($C$49="X"," ",IF(C545="X",N545,IF(C545="-"," ",0)))</f>
        <v> </v>
      </c>
      <c r="F545" s="205" t="s">
        <v>322</v>
      </c>
      <c r="G545" s="403" t="str">
        <f aca="false">IF(K516&gt;55,"-",IF(K516&gt;50,"X","-"))</f>
        <v>-</v>
      </c>
      <c r="H545" s="142"/>
      <c r="I545" s="142"/>
      <c r="J545" s="469" t="str">
        <f aca="false">O545</f>
        <v> </v>
      </c>
      <c r="K545" s="475"/>
      <c r="L545" s="379"/>
      <c r="M545" s="471" t="n">
        <f aca="false">IF(E545=" ",0,IF(G543="x","9%",IF(E543="-","8%",0)))</f>
        <v>0</v>
      </c>
      <c r="N545" s="472" t="n">
        <v>0.08</v>
      </c>
      <c r="O545" s="425" t="str">
        <f aca="false">IF(E545&lt;&gt;" ",IF(K516&gt;55,P545,N545)," ")</f>
        <v> </v>
      </c>
      <c r="P545" s="472" t="n">
        <v>0.09</v>
      </c>
    </row>
    <row r="546" customFormat="false" ht="5.1" hidden="false" customHeight="true" outlineLevel="0" collapsed="false">
      <c r="A546" s="167"/>
      <c r="B546" s="295"/>
      <c r="C546" s="142"/>
      <c r="D546" s="142"/>
      <c r="E546" s="105"/>
      <c r="F546" s="205"/>
      <c r="G546" s="142"/>
      <c r="H546" s="142"/>
      <c r="I546" s="142"/>
      <c r="J546" s="156"/>
      <c r="K546" s="142"/>
      <c r="L546" s="379"/>
      <c r="M546" s="471"/>
    </row>
    <row r="547" customFormat="false" ht="14.65" hidden="false" customHeight="true" outlineLevel="0" collapsed="false">
      <c r="A547" s="167"/>
      <c r="B547" s="295" t="s">
        <v>323</v>
      </c>
      <c r="C547" s="403" t="str">
        <f aca="false">IF(K514&gt;130,"-",IF(K514&lt;110,"-",IF(K514&lt;130,"X",0)))</f>
        <v>-</v>
      </c>
      <c r="D547" s="142"/>
      <c r="E547" s="470" t="str">
        <f aca="false">IF($C$49="X"," ",IF(C547="X",N547,IF(C547="-"," ",0)))</f>
        <v> </v>
      </c>
      <c r="F547" s="205" t="s">
        <v>324</v>
      </c>
      <c r="G547" s="403" t="str">
        <f aca="false">IF(K516&gt;50,"-",IF(K516&gt;45,"X","-"))</f>
        <v>-</v>
      </c>
      <c r="H547" s="142"/>
      <c r="I547" s="142"/>
      <c r="J547" s="469" t="str">
        <f aca="false">O547</f>
        <v> </v>
      </c>
      <c r="K547" s="475"/>
      <c r="L547" s="379"/>
      <c r="M547" s="471" t="n">
        <f aca="false">IF(E547=" ",0,IF(G545="x","9%",IF(G543="x","9%",IF(E547="8%","8%",0))))</f>
        <v>0</v>
      </c>
      <c r="N547" s="472" t="n">
        <v>0.08</v>
      </c>
      <c r="O547" s="425" t="str">
        <f aca="false">IF(E547&lt;&gt;" ",IF(K516&gt;50,P547,N547)," ")</f>
        <v> </v>
      </c>
      <c r="P547" s="472" t="n">
        <v>0.09</v>
      </c>
    </row>
    <row r="548" customFormat="false" ht="5.1" hidden="false" customHeight="true" outlineLevel="0" collapsed="false">
      <c r="A548" s="167"/>
      <c r="B548" s="295"/>
      <c r="C548" s="142"/>
      <c r="D548" s="142"/>
      <c r="E548" s="105"/>
      <c r="F548" s="205"/>
      <c r="G548" s="142"/>
      <c r="H548" s="142"/>
      <c r="I548" s="142"/>
      <c r="J548" s="156"/>
      <c r="K548" s="142"/>
      <c r="L548" s="379"/>
      <c r="M548" s="471"/>
    </row>
    <row r="549" customFormat="false" ht="14.65" hidden="false" customHeight="true" outlineLevel="0" collapsed="false">
      <c r="A549" s="167"/>
      <c r="B549" s="295" t="s">
        <v>325</v>
      </c>
      <c r="C549" s="403" t="str">
        <f aca="false">IF(K514&gt;110,"-",IF(K514&lt;95,"-",IF(K514&lt;110,"X",0)))</f>
        <v>-</v>
      </c>
      <c r="D549" s="142"/>
      <c r="E549" s="470" t="str">
        <f aca="false">IF($C$49="X"," ",IF(C549="X",N549,IF(C549="-"," ",0)))</f>
        <v> </v>
      </c>
      <c r="F549" s="205" t="s">
        <v>326</v>
      </c>
      <c r="G549" s="403" t="str">
        <f aca="false">IF(K516&gt;45,"-",IF(K516&gt;40,"X","-"))</f>
        <v>-</v>
      </c>
      <c r="H549" s="142"/>
      <c r="I549" s="142"/>
      <c r="J549" s="469" t="str">
        <f aca="false">O549</f>
        <v> </v>
      </c>
      <c r="K549" s="475"/>
      <c r="L549" s="379"/>
      <c r="M549" s="471" t="n">
        <f aca="false">IF(E549=" ",0,IF(G547="x","8%",IF(G545="x","8%",IF(G543="x","8%",IF(E549="7%","7%",0)))))</f>
        <v>0</v>
      </c>
      <c r="N549" s="472" t="n">
        <v>0.07</v>
      </c>
      <c r="O549" s="425" t="str">
        <f aca="false">IF(E549&lt;&gt;" ",IF(K516&gt;45,P549,N549)," ")</f>
        <v> </v>
      </c>
      <c r="P549" s="472" t="n">
        <v>0.08</v>
      </c>
    </row>
    <row r="550" customFormat="false" ht="5.1" hidden="false" customHeight="true" outlineLevel="0" collapsed="false">
      <c r="A550" s="167"/>
      <c r="B550" s="295"/>
      <c r="C550" s="142"/>
      <c r="D550" s="142"/>
      <c r="E550" s="105"/>
      <c r="F550" s="205"/>
      <c r="G550" s="142"/>
      <c r="H550" s="142"/>
      <c r="I550" s="142"/>
      <c r="J550" s="156"/>
      <c r="K550" s="142"/>
      <c r="L550" s="379"/>
      <c r="M550" s="474"/>
    </row>
    <row r="551" customFormat="false" ht="14.65" hidden="false" customHeight="true" outlineLevel="0" collapsed="false">
      <c r="A551" s="167"/>
      <c r="B551" s="295" t="s">
        <v>327</v>
      </c>
      <c r="C551" s="403" t="str">
        <f aca="false">IF(K514&lt;95,"X","-")</f>
        <v>X</v>
      </c>
      <c r="D551" s="142"/>
      <c r="E551" s="469" t="n">
        <f aca="false">IF($C$49="X"," ",IF(C551="X",N551,IF(C551="-"," ",0)))</f>
        <v>0.07</v>
      </c>
      <c r="F551" s="205" t="s">
        <v>328</v>
      </c>
      <c r="G551" s="403" t="str">
        <f aca="false">IF(K516&lt;=40,"X","-")</f>
        <v>X</v>
      </c>
      <c r="H551" s="142"/>
      <c r="I551" s="142"/>
      <c r="J551" s="469" t="n">
        <f aca="false">O551</f>
        <v>0.07</v>
      </c>
      <c r="K551" s="475"/>
      <c r="L551" s="379"/>
      <c r="M551" s="471" t="n">
        <f aca="false">IF(E551=" ",0,IF(G549="x","8%",IF(G547="x","8%",IF(G545="x","8%",IF(G543="x","8%",IF(E551="7%","7%",0))))))</f>
        <v>0</v>
      </c>
      <c r="N551" s="472" t="n">
        <v>0.07</v>
      </c>
      <c r="O551" s="472" t="n">
        <f aca="false">IF(E551&lt;&gt;" ",IF(K516&gt;40,P551,N551)," ")</f>
        <v>0.07</v>
      </c>
      <c r="P551" s="472" t="n">
        <v>0.08</v>
      </c>
    </row>
    <row r="552" customFormat="false" ht="5.1" hidden="false" customHeight="true" outlineLevel="0" collapsed="false">
      <c r="A552" s="167"/>
      <c r="B552" s="142"/>
      <c r="C552" s="142"/>
      <c r="D552" s="142"/>
      <c r="E552" s="105"/>
      <c r="K552" s="142"/>
      <c r="L552" s="379"/>
      <c r="M552" s="474"/>
    </row>
    <row r="553" customFormat="false" ht="14.65" hidden="false" customHeight="true" outlineLevel="0" collapsed="false">
      <c r="A553" s="167"/>
      <c r="B553" s="295" t="s">
        <v>329</v>
      </c>
      <c r="C553" s="476"/>
      <c r="D553" s="142"/>
      <c r="E553" s="475" t="str">
        <f aca="false">IF(C553="X",N553," ")</f>
        <v> </v>
      </c>
      <c r="J553" s="477" t="str">
        <f aca="false">E553</f>
        <v> </v>
      </c>
      <c r="K553" s="475" t="s">
        <v>330</v>
      </c>
      <c r="L553" s="379"/>
      <c r="M553" s="471" t="n">
        <f aca="false">IF(J553=" ",0,IF(J553="10%",0.1,0))</f>
        <v>0</v>
      </c>
      <c r="N553" s="472" t="n">
        <v>0.1</v>
      </c>
    </row>
    <row r="554" customFormat="false" ht="9" hidden="false" customHeight="true" outlineLevel="0" collapsed="false">
      <c r="A554" s="167"/>
      <c r="B554" s="142"/>
      <c r="C554" s="142"/>
      <c r="D554" s="142"/>
      <c r="E554" s="142"/>
      <c r="F554" s="142"/>
      <c r="G554" s="142"/>
      <c r="H554" s="142"/>
      <c r="I554" s="142"/>
      <c r="J554" s="142"/>
      <c r="K554" s="142"/>
      <c r="L554" s="379"/>
      <c r="M554" s="471" t="n">
        <f aca="false">M543+M545+M547+M549+M551+M553</f>
        <v>0</v>
      </c>
    </row>
    <row r="555" customFormat="false" ht="6" hidden="false" customHeight="true" outlineLevel="0" collapsed="false">
      <c r="A555" s="167"/>
      <c r="B555" s="142"/>
      <c r="C555" s="142"/>
      <c r="D555" s="142"/>
      <c r="E555" s="142"/>
      <c r="F555" s="142"/>
      <c r="G555" s="142"/>
      <c r="H555" s="142"/>
      <c r="I555" s="142"/>
      <c r="J555" s="142"/>
      <c r="K555" s="142"/>
      <c r="L555" s="379"/>
      <c r="M555" s="318"/>
    </row>
    <row r="556" customFormat="false" ht="12.75" hidden="false" customHeight="true" outlineLevel="0" collapsed="false">
      <c r="A556" s="167"/>
      <c r="B556" s="142" t="s">
        <v>331</v>
      </c>
      <c r="C556" s="142"/>
      <c r="D556" s="142"/>
      <c r="E556" s="142"/>
      <c r="F556" s="142"/>
      <c r="G556" s="476"/>
      <c r="H556" s="142"/>
      <c r="I556" s="142"/>
      <c r="J556" s="142"/>
      <c r="K556" s="142"/>
      <c r="L556" s="379"/>
      <c r="M556" s="318"/>
      <c r="N556" s="425" t="n">
        <f aca="false">IF(G556="X",1,0)</f>
        <v>0</v>
      </c>
    </row>
    <row r="557" customFormat="false" ht="6" hidden="false" customHeight="true" outlineLevel="0" collapsed="false">
      <c r="A557" s="167"/>
      <c r="B557" s="142"/>
      <c r="C557" s="142"/>
      <c r="D557" s="142"/>
      <c r="E557" s="142"/>
      <c r="F557" s="142"/>
      <c r="G557" s="295"/>
      <c r="H557" s="142"/>
      <c r="I557" s="142"/>
      <c r="J557" s="142"/>
      <c r="K557" s="142"/>
      <c r="L557" s="379"/>
      <c r="M557" s="318"/>
    </row>
    <row r="558" customFormat="false" ht="14.65" hidden="false" customHeight="true" outlineLevel="0" collapsed="false">
      <c r="A558" s="167"/>
      <c r="B558" s="142" t="s">
        <v>332</v>
      </c>
      <c r="C558" s="142"/>
      <c r="D558" s="142"/>
      <c r="E558" s="142"/>
      <c r="F558" s="142"/>
      <c r="G558" s="476" t="s">
        <v>238</v>
      </c>
      <c r="H558" s="142"/>
      <c r="I558" s="142"/>
      <c r="J558" s="142"/>
      <c r="K558" s="142"/>
      <c r="L558" s="379"/>
      <c r="M558" s="318"/>
      <c r="N558" s="425" t="n">
        <f aca="false">IF(G558="X",1,0)</f>
        <v>0</v>
      </c>
    </row>
    <row r="559" customFormat="false" ht="5.1" hidden="false" customHeight="true" outlineLevel="0" collapsed="false">
      <c r="A559" s="167"/>
      <c r="B559" s="142"/>
      <c r="C559" s="142"/>
      <c r="D559" s="142"/>
      <c r="E559" s="142"/>
      <c r="F559" s="142"/>
      <c r="G559" s="295"/>
      <c r="H559" s="142"/>
      <c r="I559" s="142"/>
      <c r="J559" s="142"/>
      <c r="K559" s="142"/>
      <c r="L559" s="379"/>
      <c r="M559" s="318"/>
    </row>
    <row r="560" customFormat="false" ht="12.75" hidden="false" customHeight="true" outlineLevel="0" collapsed="false">
      <c r="A560" s="167"/>
      <c r="B560" s="142" t="s">
        <v>333</v>
      </c>
      <c r="C560" s="142"/>
      <c r="D560" s="142"/>
      <c r="E560" s="142"/>
      <c r="F560" s="142"/>
      <c r="G560" s="476"/>
      <c r="H560" s="142"/>
      <c r="I560" s="142"/>
      <c r="J560" s="142"/>
      <c r="K560" s="142"/>
      <c r="L560" s="379"/>
      <c r="M560" s="318"/>
      <c r="N560" s="425" t="n">
        <f aca="false">IF(G560="X",1,0)</f>
        <v>0</v>
      </c>
    </row>
    <row r="561" customFormat="false" ht="4.5" hidden="false" customHeight="true" outlineLevel="0" collapsed="false">
      <c r="A561" s="167"/>
      <c r="B561" s="142"/>
      <c r="C561" s="142"/>
      <c r="D561" s="142"/>
      <c r="E561" s="142"/>
      <c r="F561" s="142"/>
      <c r="G561" s="142"/>
      <c r="H561" s="142"/>
      <c r="I561" s="142"/>
      <c r="J561" s="142"/>
      <c r="K561" s="142"/>
      <c r="L561" s="379"/>
      <c r="M561" s="318"/>
    </row>
    <row r="562" customFormat="false" ht="15" hidden="false" customHeight="true" outlineLevel="0" collapsed="false">
      <c r="A562" s="167"/>
      <c r="B562" s="142" t="s">
        <v>334</v>
      </c>
      <c r="C562" s="142"/>
      <c r="D562" s="142"/>
      <c r="E562" s="142"/>
      <c r="F562" s="142"/>
      <c r="G562" s="142"/>
      <c r="H562" s="142"/>
      <c r="I562" s="142"/>
      <c r="J562" s="142"/>
      <c r="K562" s="478" t="n">
        <f aca="false">IF(N562&gt;0,O562-0.01,O562)</f>
        <v>0.07</v>
      </c>
      <c r="L562" s="478"/>
      <c r="M562" s="318"/>
      <c r="N562" s="425" t="n">
        <f aca="false">N556+N558+N560</f>
        <v>0</v>
      </c>
      <c r="O562" s="473" t="n">
        <f aca="false">IF(J553&lt;&gt;" ",J553,P539)</f>
        <v>0.07</v>
      </c>
    </row>
    <row r="563" customFormat="false" ht="4.5" hidden="false" customHeight="true" outlineLevel="0" collapsed="false">
      <c r="A563" s="167"/>
      <c r="B563" s="142"/>
      <c r="C563" s="142"/>
      <c r="D563" s="142"/>
      <c r="E563" s="142"/>
      <c r="F563" s="142"/>
      <c r="G563" s="142"/>
      <c r="H563" s="142"/>
      <c r="I563" s="142"/>
      <c r="J563" s="142"/>
      <c r="K563" s="142"/>
      <c r="L563" s="379"/>
      <c r="M563" s="318"/>
    </row>
    <row r="564" customFormat="false" ht="4.5" hidden="false" customHeight="true" outlineLevel="0" collapsed="false">
      <c r="A564" s="167"/>
      <c r="B564" s="142"/>
      <c r="C564" s="142"/>
      <c r="D564" s="142"/>
      <c r="E564" s="142"/>
      <c r="F564" s="142"/>
      <c r="G564" s="142"/>
      <c r="H564" s="142"/>
      <c r="I564" s="142"/>
      <c r="J564" s="142"/>
      <c r="K564" s="142"/>
      <c r="L564" s="379"/>
      <c r="M564" s="318"/>
    </row>
    <row r="565" customFormat="false" ht="12.75" hidden="false" customHeight="true" outlineLevel="0" collapsed="false">
      <c r="A565" s="467" t="s">
        <v>335</v>
      </c>
      <c r="B565" s="467"/>
      <c r="C565" s="467"/>
      <c r="D565" s="467"/>
      <c r="E565" s="467"/>
      <c r="F565" s="467"/>
      <c r="G565" s="467"/>
      <c r="H565" s="467"/>
      <c r="I565" s="467"/>
      <c r="J565" s="467"/>
      <c r="K565" s="467"/>
      <c r="L565" s="467"/>
      <c r="M565" s="318"/>
    </row>
    <row r="566" customFormat="false" ht="6" hidden="false" customHeight="true" outlineLevel="0" collapsed="false">
      <c r="A566" s="167"/>
      <c r="B566" s="142"/>
      <c r="C566" s="142"/>
      <c r="D566" s="142"/>
      <c r="E566" s="142"/>
      <c r="F566" s="142"/>
      <c r="G566" s="142"/>
      <c r="H566" s="142"/>
      <c r="I566" s="142"/>
      <c r="J566" s="142"/>
      <c r="K566" s="142"/>
      <c r="L566" s="379"/>
      <c r="M566" s="318"/>
    </row>
    <row r="567" customFormat="false" ht="18" hidden="false" customHeight="true" outlineLevel="0" collapsed="false">
      <c r="A567" s="167"/>
      <c r="B567" s="142" t="s">
        <v>336</v>
      </c>
      <c r="C567" s="142"/>
      <c r="D567" s="142"/>
      <c r="E567" s="142"/>
      <c r="F567" s="142"/>
      <c r="G567" s="142"/>
      <c r="H567" s="142" t="s">
        <v>169</v>
      </c>
      <c r="I567" s="479" t="n">
        <f aca="false">K533</f>
        <v>0</v>
      </c>
      <c r="J567" s="479"/>
      <c r="K567" s="479"/>
      <c r="L567" s="479"/>
      <c r="M567" s="318"/>
    </row>
    <row r="568" customFormat="false" ht="5.1" hidden="false" customHeight="true" outlineLevel="0" collapsed="false">
      <c r="A568" s="167"/>
      <c r="B568" s="142"/>
      <c r="C568" s="142"/>
      <c r="D568" s="142"/>
      <c r="E568" s="142"/>
      <c r="F568" s="142"/>
      <c r="G568" s="142"/>
      <c r="H568" s="142"/>
      <c r="I568" s="142"/>
      <c r="J568" s="142"/>
      <c r="K568" s="142"/>
      <c r="L568" s="379"/>
      <c r="M568" s="318"/>
    </row>
    <row r="569" customFormat="false" ht="18" hidden="false" customHeight="true" outlineLevel="0" collapsed="false">
      <c r="A569" s="167"/>
      <c r="B569" s="142" t="s">
        <v>337</v>
      </c>
      <c r="C569" s="142"/>
      <c r="D569" s="142"/>
      <c r="E569" s="142"/>
      <c r="F569" s="142"/>
      <c r="G569" s="142"/>
      <c r="H569" s="142" t="s">
        <v>338</v>
      </c>
      <c r="I569" s="480" t="n">
        <f aca="false">K562</f>
        <v>0.07</v>
      </c>
      <c r="J569" s="480"/>
      <c r="K569" s="480"/>
      <c r="L569" s="480"/>
      <c r="M569" s="318"/>
    </row>
    <row r="570" customFormat="false" ht="5.1" hidden="false" customHeight="true" outlineLevel="0" collapsed="false">
      <c r="A570" s="167"/>
      <c r="B570" s="142"/>
      <c r="C570" s="142"/>
      <c r="D570" s="142"/>
      <c r="E570" s="142"/>
      <c r="F570" s="142"/>
      <c r="G570" s="142"/>
      <c r="H570" s="142"/>
      <c r="I570" s="142"/>
      <c r="J570" s="142"/>
      <c r="K570" s="142"/>
      <c r="L570" s="379"/>
      <c r="M570" s="318"/>
    </row>
    <row r="571" customFormat="false" ht="18" hidden="false" customHeight="true" outlineLevel="0" collapsed="false">
      <c r="A571" s="481"/>
      <c r="B571" s="197" t="s">
        <v>339</v>
      </c>
      <c r="C571" s="197"/>
      <c r="D571" s="197"/>
      <c r="E571" s="197"/>
      <c r="F571" s="197"/>
      <c r="G571" s="197"/>
      <c r="H571" s="197" t="s">
        <v>169</v>
      </c>
      <c r="I571" s="482" t="n">
        <f aca="false">I567*I569</f>
        <v>0</v>
      </c>
      <c r="J571" s="482"/>
      <c r="K571" s="482"/>
      <c r="L571" s="482"/>
      <c r="M571" s="318"/>
    </row>
    <row r="572" s="112" customFormat="true" ht="28.35" hidden="false" customHeight="true" outlineLevel="0" collapsed="false">
      <c r="A572" s="483"/>
      <c r="B572" s="484"/>
      <c r="C572" s="484"/>
      <c r="D572" s="484"/>
      <c r="E572" s="484"/>
      <c r="F572" s="484"/>
      <c r="G572" s="484"/>
      <c r="H572" s="484"/>
      <c r="I572" s="484"/>
      <c r="J572" s="484"/>
      <c r="K572" s="484"/>
      <c r="L572" s="485"/>
      <c r="M572" s="430"/>
      <c r="N572" s="118"/>
      <c r="O572" s="118"/>
      <c r="P572" s="118"/>
      <c r="Q572" s="118"/>
      <c r="R572" s="118"/>
    </row>
    <row r="573" s="112" customFormat="true" ht="18.15" hidden="false" customHeight="true" outlineLevel="0" collapsed="false">
      <c r="A573" s="432" t="s">
        <v>161</v>
      </c>
      <c r="B573" s="433"/>
      <c r="C573" s="433"/>
      <c r="D573" s="433"/>
      <c r="E573" s="433"/>
      <c r="F573" s="434" t="s">
        <v>162</v>
      </c>
      <c r="G573" s="435"/>
      <c r="H573" s="435"/>
      <c r="I573" s="123"/>
      <c r="J573" s="436"/>
      <c r="K573" s="434" t="s">
        <v>297</v>
      </c>
      <c r="L573" s="437"/>
      <c r="M573" s="430"/>
      <c r="N573" s="118"/>
      <c r="O573" s="118"/>
      <c r="P573" s="118"/>
      <c r="Q573" s="118"/>
      <c r="R573" s="118"/>
    </row>
    <row r="574" s="112" customFormat="true" ht="9.75" hidden="false" customHeight="true" outlineLevel="0" collapsed="false">
      <c r="A574" s="438"/>
      <c r="B574" s="439"/>
      <c r="C574" s="440"/>
      <c r="D574" s="440"/>
      <c r="E574" s="123"/>
      <c r="F574" s="440"/>
      <c r="G574" s="434"/>
      <c r="H574" s="440"/>
      <c r="I574" s="123"/>
      <c r="J574" s="434"/>
      <c r="K574" s="441"/>
      <c r="L574" s="441"/>
      <c r="M574" s="430"/>
      <c r="N574" s="118"/>
      <c r="O574" s="118"/>
      <c r="P574" s="118"/>
      <c r="Q574" s="118"/>
      <c r="R574" s="118"/>
    </row>
    <row r="575" customFormat="false" ht="14.65" hidden="false" customHeight="true" outlineLevel="0" collapsed="false">
      <c r="A575" s="442" t="s">
        <v>298</v>
      </c>
      <c r="B575" s="442"/>
      <c r="C575" s="442"/>
      <c r="D575" s="442"/>
      <c r="E575" s="442"/>
      <c r="F575" s="442"/>
      <c r="G575" s="442"/>
      <c r="H575" s="442"/>
      <c r="I575" s="442"/>
      <c r="J575" s="442"/>
      <c r="K575" s="442"/>
      <c r="L575" s="442"/>
      <c r="M575" s="318"/>
    </row>
    <row r="576" customFormat="false" ht="9" hidden="false" customHeight="true" outlineLevel="0" collapsed="false">
      <c r="A576" s="443"/>
      <c r="B576" s="444"/>
      <c r="C576" s="101"/>
      <c r="D576" s="101"/>
      <c r="E576" s="101"/>
      <c r="F576" s="101"/>
      <c r="G576" s="101"/>
      <c r="H576" s="101"/>
      <c r="I576" s="101"/>
      <c r="J576" s="101"/>
      <c r="K576" s="101"/>
      <c r="L576" s="445"/>
    </row>
    <row r="577" customFormat="false" ht="12.75" hidden="false" customHeight="true" outlineLevel="0" collapsed="false">
      <c r="A577" s="443"/>
      <c r="B577" s="446" t="s">
        <v>299</v>
      </c>
      <c r="C577" s="101"/>
      <c r="D577" s="101"/>
      <c r="E577" s="101"/>
      <c r="F577" s="101"/>
      <c r="G577" s="101"/>
      <c r="H577" s="101"/>
      <c r="I577" s="101"/>
      <c r="J577" s="101"/>
      <c r="K577" s="447"/>
      <c r="L577" s="448"/>
    </row>
    <row r="578" customFormat="false" ht="9" hidden="false" customHeight="true" outlineLevel="0" collapsed="false">
      <c r="A578" s="443"/>
      <c r="B578" s="444"/>
      <c r="C578" s="101"/>
      <c r="D578" s="101"/>
      <c r="E578" s="101"/>
      <c r="F578" s="101"/>
      <c r="G578" s="101"/>
      <c r="H578" s="101"/>
      <c r="I578" s="101"/>
      <c r="J578" s="101"/>
      <c r="K578" s="449"/>
      <c r="L578" s="448"/>
    </row>
    <row r="579" customFormat="false" ht="12.75" hidden="false" customHeight="true" outlineLevel="0" collapsed="false">
      <c r="A579" s="443"/>
      <c r="B579" s="446" t="s">
        <v>300</v>
      </c>
      <c r="C579" s="101"/>
      <c r="D579" s="101"/>
      <c r="E579" s="101"/>
      <c r="F579" s="101"/>
      <c r="G579" s="101"/>
      <c r="H579" s="101"/>
      <c r="I579" s="101"/>
      <c r="J579" s="101"/>
      <c r="K579" s="447"/>
      <c r="L579" s="448"/>
    </row>
    <row r="580" customFormat="false" ht="6.75" hidden="false" customHeight="true" outlineLevel="0" collapsed="false">
      <c r="A580" s="443"/>
      <c r="B580" s="444"/>
      <c r="C580" s="101"/>
      <c r="D580" s="101"/>
      <c r="E580" s="101"/>
      <c r="F580" s="101"/>
      <c r="G580" s="101"/>
      <c r="H580" s="101"/>
      <c r="I580" s="101"/>
      <c r="J580" s="101"/>
      <c r="K580" s="101"/>
      <c r="L580" s="450"/>
    </row>
    <row r="581" customFormat="false" ht="12.75" hidden="false" customHeight="true" outlineLevel="0" collapsed="false">
      <c r="A581" s="443" t="s">
        <v>301</v>
      </c>
      <c r="B581" s="101" t="s">
        <v>302</v>
      </c>
      <c r="C581" s="101"/>
      <c r="D581" s="101"/>
      <c r="E581" s="101"/>
      <c r="F581" s="101"/>
      <c r="G581" s="101"/>
      <c r="H581" s="101"/>
      <c r="I581" s="101"/>
      <c r="J581" s="444" t="s">
        <v>205</v>
      </c>
      <c r="K581" s="447"/>
      <c r="L581" s="448"/>
      <c r="M581" s="318"/>
    </row>
    <row r="582" customFormat="false" ht="9" hidden="false" customHeight="true" outlineLevel="0" collapsed="false">
      <c r="A582" s="443"/>
      <c r="B582" s="101"/>
      <c r="C582" s="101"/>
      <c r="D582" s="101"/>
      <c r="E582" s="101"/>
      <c r="F582" s="101"/>
      <c r="G582" s="101"/>
      <c r="H582" s="101"/>
      <c r="I582" s="101"/>
      <c r="J582" s="444"/>
      <c r="K582" s="101"/>
      <c r="L582" s="450"/>
      <c r="M582" s="318"/>
    </row>
    <row r="583" customFormat="false" ht="12.75" hidden="false" customHeight="true" outlineLevel="0" collapsed="false">
      <c r="A583" s="443"/>
      <c r="B583" s="451" t="s">
        <v>303</v>
      </c>
      <c r="C583" s="451"/>
      <c r="D583" s="451"/>
      <c r="E583" s="101"/>
      <c r="F583" s="101"/>
      <c r="G583" s="101"/>
      <c r="H583" s="101"/>
      <c r="I583" s="101"/>
      <c r="J583" s="444"/>
      <c r="K583" s="101"/>
      <c r="L583" s="452"/>
      <c r="M583" s="318"/>
    </row>
    <row r="584" customFormat="false" ht="12.75" hidden="false" customHeight="true" outlineLevel="0" collapsed="false">
      <c r="A584" s="453" t="s">
        <v>304</v>
      </c>
      <c r="B584" s="451"/>
      <c r="C584" s="451"/>
      <c r="D584" s="451"/>
      <c r="E584" s="101" t="s">
        <v>205</v>
      </c>
      <c r="F584" s="454"/>
      <c r="G584" s="444" t="s">
        <v>305</v>
      </c>
      <c r="H584" s="101" t="n">
        <v>0.6</v>
      </c>
      <c r="I584" s="101" t="s">
        <v>306</v>
      </c>
      <c r="J584" s="444" t="s">
        <v>205</v>
      </c>
      <c r="K584" s="455" t="n">
        <f aca="false">IF(F584&gt;0,F584*H584,0)</f>
        <v>0</v>
      </c>
      <c r="L584" s="456"/>
      <c r="M584" s="318"/>
    </row>
    <row r="585" customFormat="false" ht="6" hidden="false" customHeight="true" outlineLevel="0" collapsed="false">
      <c r="A585" s="443"/>
      <c r="B585" s="101"/>
      <c r="C585" s="101"/>
      <c r="D585" s="101"/>
      <c r="E585" s="101"/>
      <c r="F585" s="101"/>
      <c r="G585" s="101"/>
      <c r="H585" s="101"/>
      <c r="I585" s="101"/>
      <c r="J585" s="444"/>
      <c r="K585" s="101"/>
      <c r="L585" s="450"/>
      <c r="M585" s="318"/>
    </row>
    <row r="586" customFormat="false" ht="14.65" hidden="false" customHeight="true" outlineLevel="0" collapsed="false">
      <c r="A586" s="443"/>
      <c r="B586" s="101"/>
      <c r="C586" s="101"/>
      <c r="D586" s="101"/>
      <c r="E586" s="101"/>
      <c r="F586" s="101"/>
      <c r="G586" s="101"/>
      <c r="H586" s="101"/>
      <c r="I586" s="101"/>
      <c r="J586" s="444"/>
      <c r="K586" s="101"/>
      <c r="L586" s="450"/>
      <c r="M586" s="318"/>
    </row>
    <row r="587" customFormat="false" ht="12.75" hidden="false" customHeight="true" outlineLevel="0" collapsed="false">
      <c r="A587" s="443"/>
      <c r="B587" s="157"/>
      <c r="C587" s="101"/>
      <c r="D587" s="101"/>
      <c r="E587" s="101"/>
      <c r="F587" s="101"/>
      <c r="G587" s="101"/>
      <c r="H587" s="101"/>
      <c r="I587" s="101"/>
      <c r="J587" s="444"/>
      <c r="K587" s="457"/>
      <c r="L587" s="448"/>
      <c r="M587" s="318"/>
    </row>
    <row r="588" customFormat="false" ht="8.25" hidden="false" customHeight="true" outlineLevel="0" collapsed="false">
      <c r="A588" s="443"/>
      <c r="B588" s="157"/>
      <c r="C588" s="101"/>
      <c r="D588" s="101"/>
      <c r="E588" s="101"/>
      <c r="F588" s="101"/>
      <c r="G588" s="101"/>
      <c r="H588" s="101"/>
      <c r="I588" s="101"/>
      <c r="J588" s="444"/>
      <c r="K588" s="101"/>
      <c r="L588" s="450"/>
      <c r="M588" s="318"/>
    </row>
    <row r="589" customFormat="false" ht="12.75" hidden="false" customHeight="true" outlineLevel="0" collapsed="false">
      <c r="A589" s="443" t="s">
        <v>307</v>
      </c>
      <c r="B589" s="101" t="s">
        <v>308</v>
      </c>
      <c r="C589" s="101"/>
      <c r="D589" s="101"/>
      <c r="E589" s="101"/>
      <c r="F589" s="101"/>
      <c r="G589" s="101"/>
      <c r="H589" s="101"/>
      <c r="I589" s="101"/>
      <c r="J589" s="444" t="s">
        <v>205</v>
      </c>
      <c r="K589" s="458" t="n">
        <f aca="false">K581+K584+K587</f>
        <v>0</v>
      </c>
      <c r="L589" s="459"/>
      <c r="M589" s="318"/>
    </row>
    <row r="590" customFormat="false" ht="8.25" hidden="false" customHeight="true" outlineLevel="0" collapsed="false">
      <c r="A590" s="443"/>
      <c r="B590" s="101"/>
      <c r="C590" s="101"/>
      <c r="D590" s="101"/>
      <c r="E590" s="101"/>
      <c r="F590" s="101"/>
      <c r="G590" s="101"/>
      <c r="H590" s="101"/>
      <c r="I590" s="101"/>
      <c r="J590" s="444"/>
      <c r="K590" s="101"/>
      <c r="L590" s="450"/>
      <c r="M590" s="318"/>
    </row>
    <row r="591" customFormat="false" ht="14.65" hidden="false" customHeight="true" outlineLevel="0" collapsed="false">
      <c r="A591" s="443" t="s">
        <v>309</v>
      </c>
      <c r="B591" s="101" t="s">
        <v>310</v>
      </c>
      <c r="C591" s="101"/>
      <c r="D591" s="101"/>
      <c r="E591" s="101"/>
      <c r="F591" s="101"/>
      <c r="G591" s="101"/>
      <c r="H591" s="101"/>
      <c r="I591" s="101"/>
      <c r="J591" s="444"/>
      <c r="K591" s="101"/>
      <c r="L591" s="450"/>
      <c r="M591" s="318"/>
    </row>
    <row r="592" customFormat="false" ht="12.75" hidden="false" customHeight="true" outlineLevel="0" collapsed="false">
      <c r="A592" s="443"/>
      <c r="B592" s="157" t="s">
        <v>311</v>
      </c>
      <c r="C592" s="101"/>
      <c r="D592" s="101"/>
      <c r="E592" s="101"/>
      <c r="F592" s="101"/>
      <c r="G592" s="101"/>
      <c r="H592" s="101"/>
      <c r="I592" s="101"/>
      <c r="J592" s="444" t="s">
        <v>206</v>
      </c>
      <c r="K592" s="455" t="n">
        <f aca="false">'costo-mq'!$O$82</f>
        <v>312.7311</v>
      </c>
      <c r="L592" s="456"/>
    </row>
    <row r="593" customFormat="false" ht="6" hidden="false" customHeight="true" outlineLevel="0" collapsed="false">
      <c r="A593" s="443"/>
      <c r="B593" s="101"/>
      <c r="C593" s="101"/>
      <c r="D593" s="101"/>
      <c r="E593" s="101"/>
      <c r="F593" s="101"/>
      <c r="G593" s="101"/>
      <c r="H593" s="101"/>
      <c r="I593" s="101"/>
      <c r="J593" s="444"/>
      <c r="K593" s="154"/>
      <c r="L593" s="460"/>
      <c r="M593" s="318"/>
    </row>
    <row r="594" customFormat="false" ht="18" hidden="false" customHeight="true" outlineLevel="0" collapsed="false">
      <c r="A594" s="443"/>
      <c r="B594" s="101"/>
      <c r="C594" s="101"/>
      <c r="D594" s="101"/>
      <c r="E594" s="101"/>
      <c r="F594" s="101"/>
      <c r="G594" s="101"/>
      <c r="H594" s="461"/>
      <c r="I594" s="101"/>
      <c r="J594" s="444"/>
      <c r="K594" s="154"/>
      <c r="L594" s="460"/>
      <c r="M594" s="462"/>
    </row>
    <row r="595" customFormat="false" ht="6" hidden="false" customHeight="true" outlineLevel="0" collapsed="false">
      <c r="A595" s="443"/>
      <c r="B595" s="101"/>
      <c r="C595" s="101"/>
      <c r="D595" s="101"/>
      <c r="E595" s="101"/>
      <c r="F595" s="101"/>
      <c r="G595" s="101"/>
      <c r="H595" s="101"/>
      <c r="I595" s="101"/>
      <c r="J595" s="444"/>
      <c r="K595" s="154"/>
      <c r="L595" s="463"/>
      <c r="M595" s="318"/>
    </row>
    <row r="596" customFormat="false" ht="12.75" hidden="false" customHeight="true" outlineLevel="0" collapsed="false">
      <c r="A596" s="443" t="s">
        <v>312</v>
      </c>
      <c r="B596" s="464" t="s">
        <v>313</v>
      </c>
      <c r="C596" s="465"/>
      <c r="D596" s="465"/>
      <c r="E596" s="465"/>
      <c r="F596" s="465"/>
      <c r="G596" s="465"/>
      <c r="H596" s="465"/>
      <c r="I596" s="465"/>
      <c r="J596" s="466" t="s">
        <v>169</v>
      </c>
      <c r="K596" s="458" t="n">
        <f aca="false">K589*K592</f>
        <v>0</v>
      </c>
      <c r="L596" s="459"/>
      <c r="M596" s="318"/>
    </row>
    <row r="597" customFormat="false" ht="14.65" hidden="false" customHeight="true" outlineLevel="0" collapsed="false">
      <c r="A597" s="167"/>
      <c r="B597" s="142"/>
      <c r="C597" s="142"/>
      <c r="D597" s="142"/>
      <c r="E597" s="142"/>
      <c r="F597" s="142"/>
      <c r="G597" s="142"/>
      <c r="H597" s="142"/>
      <c r="I597" s="142"/>
      <c r="J597" s="142"/>
      <c r="K597" s="142"/>
      <c r="L597" s="379"/>
      <c r="M597" s="318"/>
    </row>
    <row r="598" customFormat="false" ht="5.1" hidden="false" customHeight="true" outlineLevel="0" collapsed="false">
      <c r="A598" s="167"/>
      <c r="B598" s="142"/>
      <c r="C598" s="142"/>
      <c r="D598" s="142"/>
      <c r="E598" s="142"/>
      <c r="F598" s="142"/>
      <c r="G598" s="142"/>
      <c r="H598" s="142"/>
      <c r="I598" s="142"/>
      <c r="J598" s="142"/>
      <c r="K598" s="142"/>
      <c r="L598" s="379"/>
      <c r="M598" s="318"/>
    </row>
    <row r="599" customFormat="false" ht="14.65" hidden="false" customHeight="true" outlineLevel="0" collapsed="false">
      <c r="A599" s="467" t="s">
        <v>314</v>
      </c>
      <c r="B599" s="467"/>
      <c r="C599" s="467"/>
      <c r="D599" s="467"/>
      <c r="E599" s="467"/>
      <c r="F599" s="467"/>
      <c r="G599" s="467"/>
      <c r="H599" s="467"/>
      <c r="I599" s="467"/>
      <c r="J599" s="467"/>
      <c r="K599" s="467"/>
      <c r="L599" s="467"/>
      <c r="M599" s="318"/>
    </row>
    <row r="600" customFormat="false" ht="5.1" hidden="false" customHeight="true" outlineLevel="0" collapsed="false">
      <c r="A600" s="167"/>
      <c r="B600" s="142"/>
      <c r="C600" s="142"/>
      <c r="D600" s="142"/>
      <c r="E600" s="142"/>
      <c r="F600" s="142"/>
      <c r="G600" s="142"/>
      <c r="H600" s="142"/>
      <c r="I600" s="142"/>
      <c r="J600" s="142"/>
      <c r="K600" s="142"/>
      <c r="L600" s="379"/>
      <c r="M600" s="318"/>
    </row>
    <row r="601" customFormat="false" ht="16.5" hidden="false" customHeight="true" outlineLevel="0" collapsed="false">
      <c r="A601" s="167"/>
      <c r="B601" s="352" t="s">
        <v>225</v>
      </c>
      <c r="C601" s="142"/>
      <c r="D601" s="383" t="s">
        <v>315</v>
      </c>
      <c r="E601" s="383"/>
      <c r="F601" s="388" t="s">
        <v>316</v>
      </c>
      <c r="G601" s="142"/>
      <c r="H601" s="142"/>
      <c r="I601" s="383" t="s">
        <v>317</v>
      </c>
      <c r="J601" s="383"/>
      <c r="K601" s="383"/>
      <c r="L601" s="379"/>
      <c r="M601" s="318"/>
    </row>
    <row r="602" customFormat="false" ht="11.25" hidden="false" customHeight="true" outlineLevel="0" collapsed="false">
      <c r="A602" s="167"/>
      <c r="B602" s="142"/>
      <c r="C602" s="142"/>
      <c r="D602" s="383"/>
      <c r="E602" s="383"/>
      <c r="F602" s="355"/>
      <c r="G602" s="142"/>
      <c r="H602" s="142"/>
      <c r="I602" s="383"/>
      <c r="J602" s="383"/>
      <c r="K602" s="383"/>
      <c r="L602" s="379"/>
      <c r="M602" s="318"/>
      <c r="N602" s="468" t="n">
        <f aca="false">SUM(E606:E616)</f>
        <v>0.07</v>
      </c>
      <c r="P602" s="468" t="n">
        <f aca="false">SUM(J604:J616)</f>
        <v>0.07</v>
      </c>
    </row>
    <row r="603" customFormat="false" ht="6" hidden="false" customHeight="true" outlineLevel="0" collapsed="false">
      <c r="A603" s="167"/>
      <c r="B603" s="142"/>
      <c r="C603" s="142"/>
      <c r="D603" s="383"/>
      <c r="E603" s="383"/>
      <c r="F603" s="355"/>
      <c r="G603" s="142"/>
      <c r="H603" s="142"/>
      <c r="I603" s="383"/>
      <c r="J603" s="383"/>
      <c r="K603" s="383"/>
      <c r="L603" s="379"/>
      <c r="M603" s="318"/>
    </row>
    <row r="604" customFormat="false" ht="13.5" hidden="false" customHeight="true" outlineLevel="0" collapsed="false">
      <c r="A604" s="167"/>
      <c r="B604" s="142"/>
      <c r="C604" s="142"/>
      <c r="D604" s="383"/>
      <c r="E604" s="383"/>
      <c r="F604" s="205" t="s">
        <v>318</v>
      </c>
      <c r="G604" s="403" t="str">
        <f aca="false">IF(K579&gt;60,"X","-")</f>
        <v>-</v>
      </c>
      <c r="H604" s="142"/>
      <c r="I604" s="142"/>
      <c r="J604" s="469"/>
      <c r="K604" s="383"/>
      <c r="L604" s="379"/>
      <c r="M604" s="318"/>
    </row>
    <row r="605" customFormat="false" ht="6" hidden="false" customHeight="true" outlineLevel="0" collapsed="false">
      <c r="A605" s="167"/>
      <c r="B605" s="142"/>
      <c r="C605" s="142"/>
      <c r="D605" s="142"/>
      <c r="E605" s="142"/>
      <c r="K605" s="142"/>
      <c r="L605" s="379"/>
      <c r="M605" s="318"/>
    </row>
    <row r="606" customFormat="false" ht="14.65" hidden="false" customHeight="true" outlineLevel="0" collapsed="false">
      <c r="A606" s="167"/>
      <c r="B606" s="295" t="s">
        <v>319</v>
      </c>
      <c r="C606" s="403" t="str">
        <f aca="false">IF(K577&gt;160,"X","-")</f>
        <v>-</v>
      </c>
      <c r="D606" s="142"/>
      <c r="E606" s="470" t="str">
        <f aca="false">IF($C$49="X"," ",IF(C606="X",N606,IF(C606="-"," ",0)))</f>
        <v> </v>
      </c>
      <c r="F606" s="205" t="s">
        <v>320</v>
      </c>
      <c r="G606" s="403" t="str">
        <f aca="false">IF(K579&gt;60,"-",IF(K579&gt;55,"X","-"))</f>
        <v>-</v>
      </c>
      <c r="H606" s="142"/>
      <c r="I606" s="142"/>
      <c r="J606" s="469" t="str">
        <f aca="false">O606</f>
        <v> </v>
      </c>
      <c r="L606" s="379"/>
      <c r="M606" s="471" t="n">
        <f aca="false">IF(E606=" ",0,IF(G606="x","9%",IF(G604="x","10%",0)))</f>
        <v>0</v>
      </c>
      <c r="N606" s="472" t="n">
        <v>0.09</v>
      </c>
      <c r="O606" s="473" t="str">
        <f aca="false">IF(E606&lt;&gt;" ",IF(K579&gt;60,P606,N606)," ")</f>
        <v> </v>
      </c>
      <c r="P606" s="472" t="n">
        <v>0.1</v>
      </c>
    </row>
    <row r="607" customFormat="false" ht="6" hidden="false" customHeight="true" outlineLevel="0" collapsed="false">
      <c r="A607" s="167"/>
      <c r="B607" s="295"/>
      <c r="C607" s="142"/>
      <c r="D607" s="142"/>
      <c r="E607" s="105"/>
      <c r="F607" s="205"/>
      <c r="G607" s="142"/>
      <c r="H607" s="142"/>
      <c r="I607" s="142"/>
      <c r="J607" s="156"/>
      <c r="L607" s="379"/>
      <c r="M607" s="474"/>
    </row>
    <row r="608" customFormat="false" ht="12.75" hidden="false" customHeight="true" outlineLevel="0" collapsed="false">
      <c r="A608" s="167"/>
      <c r="B608" s="295" t="s">
        <v>321</v>
      </c>
      <c r="C608" s="403" t="str">
        <f aca="false">IF(K577&gt;160,"-",IF(K577&lt;130,"-",IF(K577&lt;160,"X",0)))</f>
        <v>-</v>
      </c>
      <c r="D608" s="142"/>
      <c r="E608" s="470" t="str">
        <f aca="false">IF($C$49="X"," ",IF(C608="X",N608,IF(C608="-"," ",0)))</f>
        <v> </v>
      </c>
      <c r="F608" s="205" t="s">
        <v>322</v>
      </c>
      <c r="G608" s="403" t="str">
        <f aca="false">IF(K579&gt;55,"-",IF(K579&gt;50,"X","-"))</f>
        <v>-</v>
      </c>
      <c r="H608" s="142"/>
      <c r="I608" s="142"/>
      <c r="J608" s="469" t="str">
        <f aca="false">O608</f>
        <v> </v>
      </c>
      <c r="K608" s="475"/>
      <c r="L608" s="379"/>
      <c r="M608" s="471" t="n">
        <f aca="false">IF(E608=" ",0,IF(G606="x","9%",IF(E606="-","8%",0)))</f>
        <v>0</v>
      </c>
      <c r="N608" s="472" t="n">
        <v>0.08</v>
      </c>
      <c r="O608" s="425" t="str">
        <f aca="false">IF(E608&lt;&gt;" ",IF(K579&gt;55,P608,N608)," ")</f>
        <v> </v>
      </c>
      <c r="P608" s="472" t="n">
        <v>0.09</v>
      </c>
    </row>
    <row r="609" customFormat="false" ht="5.1" hidden="false" customHeight="true" outlineLevel="0" collapsed="false">
      <c r="A609" s="167"/>
      <c r="B609" s="295"/>
      <c r="C609" s="142"/>
      <c r="D609" s="142"/>
      <c r="E609" s="105"/>
      <c r="F609" s="205"/>
      <c r="G609" s="142"/>
      <c r="H609" s="142"/>
      <c r="I609" s="142"/>
      <c r="J609" s="156"/>
      <c r="K609" s="142"/>
      <c r="L609" s="379"/>
      <c r="M609" s="471"/>
    </row>
    <row r="610" customFormat="false" ht="14.65" hidden="false" customHeight="true" outlineLevel="0" collapsed="false">
      <c r="A610" s="167"/>
      <c r="B610" s="295" t="s">
        <v>323</v>
      </c>
      <c r="C610" s="403" t="str">
        <f aca="false">IF(K577&gt;130,"-",IF(K577&lt;110,"-",IF(K577&lt;130,"X",0)))</f>
        <v>-</v>
      </c>
      <c r="D610" s="142"/>
      <c r="E610" s="470" t="str">
        <f aca="false">IF($C$49="X"," ",IF(C610="X",N610,IF(C610="-"," ",0)))</f>
        <v> </v>
      </c>
      <c r="F610" s="205" t="s">
        <v>324</v>
      </c>
      <c r="G610" s="403" t="str">
        <f aca="false">IF(K579&gt;50,"-",IF(K579&gt;45,"X","-"))</f>
        <v>-</v>
      </c>
      <c r="H610" s="142"/>
      <c r="I610" s="142"/>
      <c r="J610" s="469" t="str">
        <f aca="false">O610</f>
        <v> </v>
      </c>
      <c r="K610" s="475"/>
      <c r="L610" s="379"/>
      <c r="M610" s="471" t="n">
        <f aca="false">IF(E610=" ",0,IF(G608="x","9%",IF(G606="x","9%",IF(E610="8%","8%",0))))</f>
        <v>0</v>
      </c>
      <c r="N610" s="472" t="n">
        <v>0.08</v>
      </c>
      <c r="O610" s="425" t="str">
        <f aca="false">IF(E610&lt;&gt;" ",IF(K579&gt;50,P610,N610)," ")</f>
        <v> </v>
      </c>
      <c r="P610" s="472" t="n">
        <v>0.09</v>
      </c>
    </row>
    <row r="611" customFormat="false" ht="5.1" hidden="false" customHeight="true" outlineLevel="0" collapsed="false">
      <c r="A611" s="167"/>
      <c r="B611" s="295"/>
      <c r="C611" s="142"/>
      <c r="D611" s="142"/>
      <c r="E611" s="105"/>
      <c r="F611" s="205"/>
      <c r="G611" s="142"/>
      <c r="H611" s="142"/>
      <c r="I611" s="142"/>
      <c r="J611" s="156"/>
      <c r="K611" s="142"/>
      <c r="L611" s="379"/>
      <c r="M611" s="471"/>
    </row>
    <row r="612" customFormat="false" ht="14.65" hidden="false" customHeight="true" outlineLevel="0" collapsed="false">
      <c r="A612" s="167"/>
      <c r="B612" s="295" t="s">
        <v>325</v>
      </c>
      <c r="C612" s="403" t="str">
        <f aca="false">IF(K577&gt;110,"-",IF(K577&lt;95,"-",IF(K577&lt;110,"X",0)))</f>
        <v>-</v>
      </c>
      <c r="D612" s="142"/>
      <c r="E612" s="470" t="str">
        <f aca="false">IF($C$49="X"," ",IF(C612="X",N612,IF(C612="-"," ",0)))</f>
        <v> </v>
      </c>
      <c r="F612" s="205" t="s">
        <v>326</v>
      </c>
      <c r="G612" s="403" t="str">
        <f aca="false">IF(K579&gt;45,"-",IF(K579&gt;40,"X","-"))</f>
        <v>-</v>
      </c>
      <c r="H612" s="142"/>
      <c r="I612" s="142"/>
      <c r="J612" s="469" t="str">
        <f aca="false">O612</f>
        <v> </v>
      </c>
      <c r="K612" s="475"/>
      <c r="L612" s="379"/>
      <c r="M612" s="471" t="n">
        <f aca="false">IF(E612=" ",0,IF(G610="x","8%",IF(G608="x","8%",IF(G606="x","8%",IF(E612="7%","7%",0)))))</f>
        <v>0</v>
      </c>
      <c r="N612" s="472" t="n">
        <v>0.07</v>
      </c>
      <c r="O612" s="473" t="str">
        <f aca="false">IF(E612&lt;&gt;" ",IF(K579&gt;45,P612,N612)," ")</f>
        <v> </v>
      </c>
      <c r="P612" s="472" t="n">
        <v>0.08</v>
      </c>
    </row>
    <row r="613" customFormat="false" ht="5.1" hidden="false" customHeight="true" outlineLevel="0" collapsed="false">
      <c r="A613" s="167"/>
      <c r="B613" s="295"/>
      <c r="C613" s="142"/>
      <c r="D613" s="142"/>
      <c r="E613" s="105"/>
      <c r="F613" s="205"/>
      <c r="G613" s="142"/>
      <c r="H613" s="142"/>
      <c r="I613" s="142"/>
      <c r="J613" s="156"/>
      <c r="K613" s="142"/>
      <c r="L613" s="379"/>
      <c r="M613" s="474"/>
    </row>
    <row r="614" customFormat="false" ht="14.65" hidden="false" customHeight="true" outlineLevel="0" collapsed="false">
      <c r="A614" s="167"/>
      <c r="B614" s="295" t="s">
        <v>327</v>
      </c>
      <c r="C614" s="403" t="str">
        <f aca="false">IF(K577&lt;95,"X","-")</f>
        <v>X</v>
      </c>
      <c r="D614" s="142"/>
      <c r="E614" s="469" t="n">
        <f aca="false">IF($C$49="X"," ",IF(C614="X",N614,IF(C614="-"," ",0)))</f>
        <v>0.07</v>
      </c>
      <c r="F614" s="205" t="s">
        <v>328</v>
      </c>
      <c r="G614" s="403" t="str">
        <f aca="false">IF(K579&lt;=40,"X","-")</f>
        <v>X</v>
      </c>
      <c r="H614" s="142"/>
      <c r="I614" s="142"/>
      <c r="J614" s="469" t="n">
        <f aca="false">O614</f>
        <v>0.07</v>
      </c>
      <c r="K614" s="475"/>
      <c r="L614" s="379"/>
      <c r="M614" s="471" t="n">
        <f aca="false">IF(E614=" ",0,IF(G612="x","8%",IF(G610="x","8%",IF(G608="x","8%",IF(G606="x","8%",IF(E614="7%","7%",0))))))</f>
        <v>0</v>
      </c>
      <c r="N614" s="472" t="n">
        <v>0.07</v>
      </c>
      <c r="O614" s="472" t="n">
        <f aca="false">IF(E614&lt;&gt;" ",IF(K579&gt;40,P614,N614)," ")</f>
        <v>0.07</v>
      </c>
      <c r="P614" s="472" t="n">
        <v>0.08</v>
      </c>
    </row>
    <row r="615" customFormat="false" ht="5.1" hidden="false" customHeight="true" outlineLevel="0" collapsed="false">
      <c r="A615" s="167"/>
      <c r="B615" s="142"/>
      <c r="C615" s="142"/>
      <c r="D615" s="142"/>
      <c r="E615" s="105"/>
      <c r="K615" s="142"/>
      <c r="L615" s="379"/>
      <c r="M615" s="474"/>
    </row>
    <row r="616" customFormat="false" ht="14.65" hidden="false" customHeight="true" outlineLevel="0" collapsed="false">
      <c r="A616" s="167"/>
      <c r="B616" s="295" t="s">
        <v>329</v>
      </c>
      <c r="C616" s="476"/>
      <c r="D616" s="142"/>
      <c r="E616" s="475" t="str">
        <f aca="false">IF(C616="X",N616," ")</f>
        <v> </v>
      </c>
      <c r="J616" s="477" t="str">
        <f aca="false">E616</f>
        <v> </v>
      </c>
      <c r="K616" s="475" t="s">
        <v>330</v>
      </c>
      <c r="L616" s="379"/>
      <c r="M616" s="471" t="n">
        <f aca="false">IF(J616=" ",0,IF(J616="10%",0.1,0))</f>
        <v>0</v>
      </c>
      <c r="N616" s="472" t="n">
        <v>0.1</v>
      </c>
    </row>
    <row r="617" customFormat="false" ht="9" hidden="false" customHeight="true" outlineLevel="0" collapsed="false">
      <c r="A617" s="167"/>
      <c r="B617" s="142"/>
      <c r="C617" s="142"/>
      <c r="D617" s="142"/>
      <c r="E617" s="142"/>
      <c r="F617" s="142"/>
      <c r="G617" s="142"/>
      <c r="H617" s="142"/>
      <c r="I617" s="142"/>
      <c r="J617" s="142"/>
      <c r="K617" s="142"/>
      <c r="L617" s="379"/>
      <c r="M617" s="471" t="n">
        <f aca="false">M606+M608+M610+M612+M614+M616</f>
        <v>0</v>
      </c>
    </row>
    <row r="618" customFormat="false" ht="6" hidden="false" customHeight="true" outlineLevel="0" collapsed="false">
      <c r="A618" s="167"/>
      <c r="B618" s="142"/>
      <c r="C618" s="142"/>
      <c r="D618" s="142"/>
      <c r="E618" s="142"/>
      <c r="F618" s="142"/>
      <c r="G618" s="142"/>
      <c r="H618" s="142"/>
      <c r="I618" s="142"/>
      <c r="J618" s="142"/>
      <c r="K618" s="142"/>
      <c r="L618" s="379"/>
      <c r="M618" s="318"/>
    </row>
    <row r="619" customFormat="false" ht="12.75" hidden="false" customHeight="true" outlineLevel="0" collapsed="false">
      <c r="A619" s="167"/>
      <c r="B619" s="142" t="s">
        <v>331</v>
      </c>
      <c r="C619" s="142"/>
      <c r="D619" s="142"/>
      <c r="E619" s="142"/>
      <c r="F619" s="142"/>
      <c r="G619" s="476"/>
      <c r="H619" s="142"/>
      <c r="I619" s="142"/>
      <c r="J619" s="142"/>
      <c r="K619" s="142"/>
      <c r="L619" s="379"/>
      <c r="M619" s="318"/>
      <c r="N619" s="425" t="n">
        <f aca="false">IF(G619="X",1,0)</f>
        <v>0</v>
      </c>
    </row>
    <row r="620" customFormat="false" ht="6" hidden="false" customHeight="true" outlineLevel="0" collapsed="false">
      <c r="A620" s="167"/>
      <c r="B620" s="142"/>
      <c r="C620" s="142"/>
      <c r="D620" s="142"/>
      <c r="E620" s="142"/>
      <c r="F620" s="142"/>
      <c r="G620" s="295"/>
      <c r="H620" s="142"/>
      <c r="I620" s="142"/>
      <c r="J620" s="142"/>
      <c r="K620" s="142"/>
      <c r="L620" s="379"/>
      <c r="M620" s="318"/>
    </row>
    <row r="621" customFormat="false" ht="14.65" hidden="false" customHeight="true" outlineLevel="0" collapsed="false">
      <c r="A621" s="167"/>
      <c r="B621" s="142" t="s">
        <v>332</v>
      </c>
      <c r="C621" s="142"/>
      <c r="D621" s="142"/>
      <c r="E621" s="142"/>
      <c r="F621" s="142"/>
      <c r="G621" s="476" t="s">
        <v>238</v>
      </c>
      <c r="H621" s="142"/>
      <c r="I621" s="142"/>
      <c r="J621" s="142"/>
      <c r="K621" s="142"/>
      <c r="L621" s="379"/>
      <c r="M621" s="318"/>
      <c r="N621" s="425" t="n">
        <f aca="false">IF(G621="X",1,0)</f>
        <v>0</v>
      </c>
    </row>
    <row r="622" customFormat="false" ht="5.1" hidden="false" customHeight="true" outlineLevel="0" collapsed="false">
      <c r="A622" s="167"/>
      <c r="B622" s="142"/>
      <c r="C622" s="142"/>
      <c r="D622" s="142"/>
      <c r="E622" s="142"/>
      <c r="F622" s="142"/>
      <c r="G622" s="295"/>
      <c r="H622" s="142"/>
      <c r="I622" s="142"/>
      <c r="J622" s="142"/>
      <c r="K622" s="142"/>
      <c r="L622" s="379"/>
      <c r="M622" s="318"/>
    </row>
    <row r="623" customFormat="false" ht="12.75" hidden="false" customHeight="true" outlineLevel="0" collapsed="false">
      <c r="A623" s="167"/>
      <c r="B623" s="142" t="s">
        <v>333</v>
      </c>
      <c r="C623" s="142"/>
      <c r="D623" s="142"/>
      <c r="E623" s="142"/>
      <c r="F623" s="142"/>
      <c r="G623" s="476"/>
      <c r="H623" s="142"/>
      <c r="I623" s="142"/>
      <c r="J623" s="142"/>
      <c r="K623" s="142"/>
      <c r="L623" s="379"/>
      <c r="M623" s="318"/>
      <c r="N623" s="425" t="n">
        <f aca="false">IF(G623="X",1,0)</f>
        <v>0</v>
      </c>
    </row>
    <row r="624" customFormat="false" ht="4.5" hidden="false" customHeight="true" outlineLevel="0" collapsed="false">
      <c r="A624" s="167"/>
      <c r="B624" s="142"/>
      <c r="C624" s="142"/>
      <c r="D624" s="142"/>
      <c r="E624" s="142"/>
      <c r="F624" s="142"/>
      <c r="G624" s="142"/>
      <c r="H624" s="142"/>
      <c r="I624" s="142"/>
      <c r="J624" s="142"/>
      <c r="K624" s="142"/>
      <c r="L624" s="379"/>
      <c r="M624" s="318"/>
    </row>
    <row r="625" customFormat="false" ht="15" hidden="false" customHeight="true" outlineLevel="0" collapsed="false">
      <c r="A625" s="167"/>
      <c r="B625" s="142" t="s">
        <v>334</v>
      </c>
      <c r="C625" s="142"/>
      <c r="D625" s="142"/>
      <c r="E625" s="142"/>
      <c r="F625" s="142"/>
      <c r="G625" s="142"/>
      <c r="H625" s="142"/>
      <c r="I625" s="142"/>
      <c r="J625" s="142"/>
      <c r="K625" s="478" t="n">
        <f aca="false">IF(N625&gt;0,O625-0.01,O625)</f>
        <v>0.07</v>
      </c>
      <c r="L625" s="478"/>
      <c r="M625" s="318"/>
      <c r="N625" s="425" t="n">
        <f aca="false">N619+N621+N623</f>
        <v>0</v>
      </c>
      <c r="O625" s="473" t="n">
        <f aca="false">IF(J616&lt;&gt;" ",J616,P602)</f>
        <v>0.07</v>
      </c>
    </row>
    <row r="626" customFormat="false" ht="4.5" hidden="false" customHeight="true" outlineLevel="0" collapsed="false">
      <c r="A626" s="167"/>
      <c r="B626" s="142"/>
      <c r="C626" s="142"/>
      <c r="D626" s="142"/>
      <c r="E626" s="142"/>
      <c r="F626" s="142"/>
      <c r="G626" s="142"/>
      <c r="H626" s="142"/>
      <c r="I626" s="142"/>
      <c r="J626" s="142"/>
      <c r="K626" s="142"/>
      <c r="L626" s="379"/>
      <c r="M626" s="318"/>
    </row>
    <row r="627" customFormat="false" ht="4.5" hidden="false" customHeight="true" outlineLevel="0" collapsed="false">
      <c r="A627" s="167"/>
      <c r="B627" s="142"/>
      <c r="C627" s="142"/>
      <c r="D627" s="142"/>
      <c r="E627" s="142"/>
      <c r="F627" s="142"/>
      <c r="G627" s="142"/>
      <c r="H627" s="142"/>
      <c r="I627" s="142"/>
      <c r="J627" s="142"/>
      <c r="K627" s="142"/>
      <c r="L627" s="379"/>
      <c r="M627" s="318"/>
    </row>
    <row r="628" customFormat="false" ht="12.75" hidden="false" customHeight="true" outlineLevel="0" collapsed="false">
      <c r="A628" s="467" t="s">
        <v>335</v>
      </c>
      <c r="B628" s="467"/>
      <c r="C628" s="467"/>
      <c r="D628" s="467"/>
      <c r="E628" s="467"/>
      <c r="F628" s="467"/>
      <c r="G628" s="467"/>
      <c r="H628" s="467"/>
      <c r="I628" s="467"/>
      <c r="J628" s="467"/>
      <c r="K628" s="467"/>
      <c r="L628" s="467"/>
      <c r="M628" s="318"/>
    </row>
    <row r="629" customFormat="false" ht="6" hidden="false" customHeight="true" outlineLevel="0" collapsed="false">
      <c r="A629" s="167"/>
      <c r="B629" s="142"/>
      <c r="C629" s="142"/>
      <c r="D629" s="142"/>
      <c r="E629" s="142"/>
      <c r="F629" s="142"/>
      <c r="G629" s="142"/>
      <c r="H629" s="142"/>
      <c r="I629" s="142"/>
      <c r="J629" s="142"/>
      <c r="K629" s="142"/>
      <c r="L629" s="379"/>
      <c r="M629" s="318"/>
    </row>
    <row r="630" customFormat="false" ht="18" hidden="false" customHeight="true" outlineLevel="0" collapsed="false">
      <c r="A630" s="167"/>
      <c r="B630" s="142" t="s">
        <v>336</v>
      </c>
      <c r="C630" s="142"/>
      <c r="D630" s="142"/>
      <c r="E630" s="142"/>
      <c r="F630" s="142"/>
      <c r="G630" s="142"/>
      <c r="H630" s="142" t="s">
        <v>169</v>
      </c>
      <c r="I630" s="479" t="n">
        <f aca="false">K596</f>
        <v>0</v>
      </c>
      <c r="J630" s="479"/>
      <c r="K630" s="479"/>
      <c r="L630" s="479"/>
      <c r="M630" s="318"/>
    </row>
    <row r="631" customFormat="false" ht="5.1" hidden="false" customHeight="true" outlineLevel="0" collapsed="false">
      <c r="A631" s="167"/>
      <c r="B631" s="142"/>
      <c r="C631" s="142"/>
      <c r="D631" s="142"/>
      <c r="E631" s="142"/>
      <c r="F631" s="142"/>
      <c r="G631" s="142"/>
      <c r="H631" s="142"/>
      <c r="I631" s="142"/>
      <c r="J631" s="142"/>
      <c r="K631" s="142"/>
      <c r="L631" s="379"/>
      <c r="M631" s="318"/>
    </row>
    <row r="632" customFormat="false" ht="18" hidden="false" customHeight="true" outlineLevel="0" collapsed="false">
      <c r="A632" s="167"/>
      <c r="B632" s="142" t="s">
        <v>337</v>
      </c>
      <c r="C632" s="142"/>
      <c r="D632" s="142"/>
      <c r="E632" s="142"/>
      <c r="F632" s="142"/>
      <c r="G632" s="142"/>
      <c r="H632" s="142" t="s">
        <v>338</v>
      </c>
      <c r="I632" s="480" t="n">
        <f aca="false">K625</f>
        <v>0.07</v>
      </c>
      <c r="J632" s="480"/>
      <c r="K632" s="480"/>
      <c r="L632" s="480"/>
      <c r="M632" s="318"/>
    </row>
    <row r="633" customFormat="false" ht="5.1" hidden="false" customHeight="true" outlineLevel="0" collapsed="false">
      <c r="A633" s="167"/>
      <c r="B633" s="142"/>
      <c r="C633" s="142"/>
      <c r="D633" s="142"/>
      <c r="E633" s="142"/>
      <c r="F633" s="142"/>
      <c r="G633" s="142"/>
      <c r="H633" s="142"/>
      <c r="I633" s="142"/>
      <c r="J633" s="142"/>
      <c r="K633" s="142"/>
      <c r="L633" s="379"/>
      <c r="M633" s="318"/>
    </row>
    <row r="634" customFormat="false" ht="18" hidden="false" customHeight="true" outlineLevel="0" collapsed="false">
      <c r="A634" s="481"/>
      <c r="B634" s="197" t="s">
        <v>339</v>
      </c>
      <c r="C634" s="197"/>
      <c r="D634" s="197"/>
      <c r="E634" s="197"/>
      <c r="F634" s="197"/>
      <c r="G634" s="197"/>
      <c r="H634" s="197" t="s">
        <v>169</v>
      </c>
      <c r="I634" s="482" t="n">
        <f aca="false">I630*I632</f>
        <v>0</v>
      </c>
      <c r="J634" s="482"/>
      <c r="K634" s="482"/>
      <c r="L634" s="482"/>
      <c r="M634" s="318"/>
    </row>
    <row r="635" s="112" customFormat="true" ht="28.35" hidden="false" customHeight="true" outlineLevel="0" collapsed="false">
      <c r="A635" s="483"/>
      <c r="B635" s="484"/>
      <c r="C635" s="484"/>
      <c r="D635" s="484"/>
      <c r="E635" s="484"/>
      <c r="F635" s="484"/>
      <c r="G635" s="484"/>
      <c r="H635" s="484"/>
      <c r="I635" s="484"/>
      <c r="J635" s="484"/>
      <c r="K635" s="484"/>
      <c r="L635" s="485"/>
      <c r="M635" s="430"/>
      <c r="N635" s="118"/>
      <c r="O635" s="118"/>
      <c r="P635" s="118"/>
      <c r="Q635" s="118"/>
      <c r="R635" s="118"/>
    </row>
  </sheetData>
  <sheetProtection sheet="true" objects="true" scenarios="true"/>
  <mergeCells count="125">
    <mergeCell ref="A1:L1"/>
    <mergeCell ref="A2:L2"/>
    <mergeCell ref="A3:L3"/>
    <mergeCell ref="A4:L4"/>
    <mergeCell ref="A5:L5"/>
    <mergeCell ref="B6:E6"/>
    <mergeCell ref="G6:H6"/>
    <mergeCell ref="A8:L8"/>
    <mergeCell ref="B16:D17"/>
    <mergeCell ref="A32:L32"/>
    <mergeCell ref="D34:E34"/>
    <mergeCell ref="I34:K35"/>
    <mergeCell ref="K58:L58"/>
    <mergeCell ref="A61:L61"/>
    <mergeCell ref="I63:L63"/>
    <mergeCell ref="I65:L65"/>
    <mergeCell ref="I67:L67"/>
    <mergeCell ref="B69:E69"/>
    <mergeCell ref="G69:H69"/>
    <mergeCell ref="A71:L71"/>
    <mergeCell ref="B79:D80"/>
    <mergeCell ref="A95:L95"/>
    <mergeCell ref="D97:E97"/>
    <mergeCell ref="I97:K98"/>
    <mergeCell ref="K121:L121"/>
    <mergeCell ref="A124:L124"/>
    <mergeCell ref="I126:L126"/>
    <mergeCell ref="I128:L128"/>
    <mergeCell ref="I130:L130"/>
    <mergeCell ref="B132:E132"/>
    <mergeCell ref="G132:H132"/>
    <mergeCell ref="A134:L134"/>
    <mergeCell ref="B142:D143"/>
    <mergeCell ref="A158:L158"/>
    <mergeCell ref="D160:E160"/>
    <mergeCell ref="I160:K161"/>
    <mergeCell ref="K184:L184"/>
    <mergeCell ref="A187:L187"/>
    <mergeCell ref="I189:L189"/>
    <mergeCell ref="I191:L191"/>
    <mergeCell ref="I193:L193"/>
    <mergeCell ref="B195:E195"/>
    <mergeCell ref="G195:H195"/>
    <mergeCell ref="A197:L197"/>
    <mergeCell ref="B205:D206"/>
    <mergeCell ref="A221:L221"/>
    <mergeCell ref="D223:E223"/>
    <mergeCell ref="I223:K224"/>
    <mergeCell ref="K247:L247"/>
    <mergeCell ref="A250:L250"/>
    <mergeCell ref="I252:L252"/>
    <mergeCell ref="I254:L254"/>
    <mergeCell ref="I256:L256"/>
    <mergeCell ref="B258:E258"/>
    <mergeCell ref="G258:H258"/>
    <mergeCell ref="A260:L260"/>
    <mergeCell ref="B268:D269"/>
    <mergeCell ref="A284:L284"/>
    <mergeCell ref="D286:E286"/>
    <mergeCell ref="I286:K287"/>
    <mergeCell ref="K310:L310"/>
    <mergeCell ref="A313:L313"/>
    <mergeCell ref="I315:L315"/>
    <mergeCell ref="I317:L317"/>
    <mergeCell ref="I319:L319"/>
    <mergeCell ref="B321:E321"/>
    <mergeCell ref="G321:H321"/>
    <mergeCell ref="A323:L323"/>
    <mergeCell ref="B331:D332"/>
    <mergeCell ref="A347:L347"/>
    <mergeCell ref="D349:E349"/>
    <mergeCell ref="I349:K350"/>
    <mergeCell ref="K373:L373"/>
    <mergeCell ref="A376:L376"/>
    <mergeCell ref="I378:L378"/>
    <mergeCell ref="I380:L380"/>
    <mergeCell ref="I382:L382"/>
    <mergeCell ref="B384:E384"/>
    <mergeCell ref="G384:H384"/>
    <mergeCell ref="A386:L386"/>
    <mergeCell ref="B394:D395"/>
    <mergeCell ref="A410:L410"/>
    <mergeCell ref="D412:E412"/>
    <mergeCell ref="I412:K413"/>
    <mergeCell ref="K436:L436"/>
    <mergeCell ref="A439:L439"/>
    <mergeCell ref="I441:L441"/>
    <mergeCell ref="I443:L443"/>
    <mergeCell ref="I445:L445"/>
    <mergeCell ref="B447:E447"/>
    <mergeCell ref="G447:H447"/>
    <mergeCell ref="A449:L449"/>
    <mergeCell ref="B457:D458"/>
    <mergeCell ref="A473:L473"/>
    <mergeCell ref="D475:E475"/>
    <mergeCell ref="I475:K476"/>
    <mergeCell ref="K499:L499"/>
    <mergeCell ref="A502:L502"/>
    <mergeCell ref="I504:L504"/>
    <mergeCell ref="I506:L506"/>
    <mergeCell ref="I508:L508"/>
    <mergeCell ref="B510:E510"/>
    <mergeCell ref="G510:H510"/>
    <mergeCell ref="A512:L512"/>
    <mergeCell ref="B520:D521"/>
    <mergeCell ref="A536:L536"/>
    <mergeCell ref="D538:E538"/>
    <mergeCell ref="I538:K539"/>
    <mergeCell ref="K562:L562"/>
    <mergeCell ref="A565:L565"/>
    <mergeCell ref="I567:L567"/>
    <mergeCell ref="I569:L569"/>
    <mergeCell ref="I571:L571"/>
    <mergeCell ref="B573:E573"/>
    <mergeCell ref="G573:H573"/>
    <mergeCell ref="A575:L575"/>
    <mergeCell ref="B583:D584"/>
    <mergeCell ref="A599:L599"/>
    <mergeCell ref="D601:E601"/>
    <mergeCell ref="I601:K602"/>
    <mergeCell ref="K625:L625"/>
    <mergeCell ref="A628:L628"/>
    <mergeCell ref="I630:L630"/>
    <mergeCell ref="I632:L632"/>
    <mergeCell ref="I634:L634"/>
  </mergeCells>
  <printOptions headings="false" gridLines="false" gridLinesSet="true" horizontalCentered="true" verticalCentered="true"/>
  <pageMargins left="0.747916666666667" right="0.747916666666667" top="0.984027777777778" bottom="0.827083333333333"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635"/>
  <sheetViews>
    <sheetView showFormulas="false" showGridLines="false" showRowColHeaders="true" showZeros="true" rightToLeft="false" tabSelected="false" showOutlineSymbols="true" defaultGridColor="true" view="normal" topLeftCell="A1" colorId="64" zoomScale="78" zoomScaleNormal="78" zoomScalePageLayoutView="100" workbookViewId="0">
      <selection pane="topLeft" activeCell="F17" activeCellId="0" sqref="F17"/>
    </sheetView>
  </sheetViews>
  <sheetFormatPr defaultColWidth="8.5078125" defaultRowHeight="13.2" zeroHeight="false" outlineLevelRow="0" outlineLevelCol="0"/>
  <cols>
    <col collapsed="false" customWidth="true" hidden="false" outlineLevel="0" max="1" min="1" style="424" width="4.29"/>
    <col collapsed="false" customWidth="true" hidden="false" outlineLevel="0" max="2" min="2" style="205" width="19.29"/>
    <col collapsed="false" customWidth="true" hidden="false" outlineLevel="0" max="3" min="3" style="87" width="2.29"/>
    <col collapsed="false" customWidth="true" hidden="false" outlineLevel="0" max="4" min="4" style="87" width="4.29"/>
    <col collapsed="false" customWidth="true" hidden="false" outlineLevel="0" max="5" min="5" style="87" width="4.48"/>
    <col collapsed="false" customWidth="true" hidden="false" outlineLevel="0" max="6" min="6" style="87" width="14.29"/>
    <col collapsed="false" customWidth="true" hidden="false" outlineLevel="0" max="7" min="7" style="87" width="2.51"/>
    <col collapsed="false" customWidth="true" hidden="false" outlineLevel="0" max="8" min="8" style="87" width="4.29"/>
    <col collapsed="false" customWidth="true" hidden="false" outlineLevel="0" max="9" min="9" style="87" width="2.29"/>
    <col collapsed="false" customWidth="true" hidden="false" outlineLevel="0" max="10" min="10" style="87" width="4.29"/>
    <col collapsed="false" customWidth="true" hidden="false" outlineLevel="0" max="11" min="11" style="87" width="7.73"/>
    <col collapsed="false" customWidth="true" hidden="false" outlineLevel="0" max="12" min="12" style="87" width="8.73"/>
    <col collapsed="false" customWidth="true" hidden="false" outlineLevel="0" max="13" min="13" style="316" width="9.52"/>
    <col collapsed="false" customWidth="true" hidden="false" outlineLevel="0" max="14" min="14" style="425" width="9.73"/>
    <col collapsed="false" customWidth="true" hidden="false" outlineLevel="0" max="15" min="15" style="425" width="6.51"/>
    <col collapsed="false" customWidth="true" hidden="false" outlineLevel="0" max="16" min="16" style="425" width="9.29"/>
    <col collapsed="false" customWidth="false" hidden="false" outlineLevel="0" max="18" min="17" style="425" width="8.49"/>
    <col collapsed="false" customWidth="false" hidden="false" outlineLevel="0" max="257" min="19" style="1" width="8.49"/>
  </cols>
  <sheetData>
    <row r="1" customFormat="false" ht="13.8" hidden="false" customHeight="true" outlineLevel="0" collapsed="false">
      <c r="A1" s="317" t="s">
        <v>159</v>
      </c>
      <c r="B1" s="317"/>
      <c r="C1" s="317"/>
      <c r="D1" s="317"/>
      <c r="E1" s="317"/>
      <c r="F1" s="317"/>
      <c r="G1" s="317"/>
      <c r="H1" s="317"/>
      <c r="I1" s="317"/>
      <c r="J1" s="317"/>
      <c r="K1" s="317"/>
      <c r="L1" s="317"/>
      <c r="M1" s="321"/>
    </row>
    <row r="2" customFormat="false" ht="17.25" hidden="false" customHeight="true" outlineLevel="0" collapsed="false">
      <c r="A2" s="106" t="s">
        <v>294</v>
      </c>
      <c r="B2" s="106"/>
      <c r="C2" s="106"/>
      <c r="D2" s="106"/>
      <c r="E2" s="106"/>
      <c r="F2" s="106"/>
      <c r="G2" s="106"/>
      <c r="H2" s="106"/>
      <c r="I2" s="106"/>
      <c r="J2" s="106"/>
      <c r="K2" s="106"/>
      <c r="L2" s="106"/>
      <c r="M2" s="321"/>
    </row>
    <row r="3" customFormat="false" ht="6" hidden="false" customHeight="true" outlineLevel="0" collapsed="false">
      <c r="A3" s="428"/>
      <c r="B3" s="428"/>
      <c r="C3" s="428"/>
      <c r="D3" s="428"/>
      <c r="E3" s="428"/>
      <c r="F3" s="428"/>
      <c r="G3" s="428"/>
      <c r="H3" s="428"/>
      <c r="I3" s="428"/>
      <c r="J3" s="428"/>
      <c r="K3" s="428"/>
      <c r="L3" s="428"/>
      <c r="M3" s="321"/>
    </row>
    <row r="4" s="112" customFormat="true" ht="19.5" hidden="false" customHeight="true" outlineLevel="0" collapsed="false">
      <c r="A4" s="429" t="s">
        <v>340</v>
      </c>
      <c r="B4" s="429"/>
      <c r="C4" s="429"/>
      <c r="D4" s="429"/>
      <c r="E4" s="429"/>
      <c r="F4" s="429"/>
      <c r="G4" s="429"/>
      <c r="H4" s="429"/>
      <c r="I4" s="429"/>
      <c r="J4" s="429"/>
      <c r="K4" s="429"/>
      <c r="L4" s="429"/>
      <c r="M4" s="430"/>
      <c r="N4" s="118"/>
      <c r="O4" s="118"/>
      <c r="P4" s="118"/>
      <c r="Q4" s="118"/>
      <c r="R4" s="118"/>
    </row>
    <row r="5" customFormat="false" ht="18" hidden="false" customHeight="true" outlineLevel="0" collapsed="false">
      <c r="A5" s="322" t="s">
        <v>296</v>
      </c>
      <c r="B5" s="322"/>
      <c r="C5" s="322"/>
      <c r="D5" s="322"/>
      <c r="E5" s="322"/>
      <c r="F5" s="322"/>
      <c r="G5" s="322"/>
      <c r="H5" s="322"/>
      <c r="I5" s="322"/>
      <c r="J5" s="322"/>
      <c r="K5" s="322"/>
      <c r="L5" s="322"/>
      <c r="M5" s="431"/>
    </row>
    <row r="6" s="112" customFormat="true" ht="18" hidden="false" customHeight="true" outlineLevel="0" collapsed="false">
      <c r="A6" s="432" t="s">
        <v>341</v>
      </c>
      <c r="B6" s="209"/>
      <c r="C6" s="209"/>
      <c r="D6" s="209"/>
      <c r="E6" s="209"/>
      <c r="F6" s="434" t="s">
        <v>162</v>
      </c>
      <c r="G6" s="211"/>
      <c r="H6" s="211"/>
      <c r="I6" s="123"/>
      <c r="J6" s="436"/>
      <c r="K6" s="434" t="s">
        <v>297</v>
      </c>
      <c r="L6" s="437"/>
      <c r="M6" s="430"/>
      <c r="N6" s="118"/>
      <c r="O6" s="118"/>
      <c r="P6" s="118"/>
      <c r="Q6" s="118"/>
      <c r="R6" s="118"/>
    </row>
    <row r="7" s="112" customFormat="true" ht="9.75" hidden="false" customHeight="true" outlineLevel="0" collapsed="false">
      <c r="A7" s="438"/>
      <c r="B7" s="439"/>
      <c r="C7" s="440"/>
      <c r="D7" s="440"/>
      <c r="E7" s="123"/>
      <c r="F7" s="440"/>
      <c r="G7" s="434"/>
      <c r="H7" s="440"/>
      <c r="I7" s="123"/>
      <c r="J7" s="434"/>
      <c r="K7" s="441"/>
      <c r="L7" s="488"/>
      <c r="M7" s="430"/>
      <c r="N7" s="118"/>
      <c r="O7" s="118"/>
      <c r="P7" s="118"/>
      <c r="Q7" s="118"/>
      <c r="R7" s="118"/>
    </row>
    <row r="8" customFormat="false" ht="12.75" hidden="false" customHeight="true" outlineLevel="0" collapsed="false">
      <c r="A8" s="442" t="s">
        <v>298</v>
      </c>
      <c r="B8" s="442"/>
      <c r="C8" s="442"/>
      <c r="D8" s="442"/>
      <c r="E8" s="442"/>
      <c r="F8" s="442"/>
      <c r="G8" s="442"/>
      <c r="H8" s="442"/>
      <c r="I8" s="442"/>
      <c r="J8" s="442"/>
      <c r="K8" s="442"/>
      <c r="L8" s="442"/>
      <c r="M8" s="318"/>
    </row>
    <row r="9" customFormat="false" ht="9" hidden="false" customHeight="true" outlineLevel="0" collapsed="false">
      <c r="A9" s="443"/>
      <c r="B9" s="444"/>
      <c r="C9" s="101"/>
      <c r="D9" s="101"/>
      <c r="E9" s="101"/>
      <c r="F9" s="101"/>
      <c r="G9" s="101"/>
      <c r="H9" s="101"/>
      <c r="I9" s="101"/>
      <c r="J9" s="101"/>
      <c r="K9" s="101"/>
      <c r="L9" s="445"/>
    </row>
    <row r="10" customFormat="false" ht="12.75" hidden="false" customHeight="true" outlineLevel="0" collapsed="false">
      <c r="A10" s="443"/>
      <c r="B10" s="446" t="s">
        <v>299</v>
      </c>
      <c r="C10" s="101"/>
      <c r="D10" s="101"/>
      <c r="E10" s="101"/>
      <c r="F10" s="101"/>
      <c r="G10" s="101"/>
      <c r="H10" s="101"/>
      <c r="I10" s="101"/>
      <c r="J10" s="101"/>
      <c r="K10" s="447"/>
      <c r="L10" s="448"/>
    </row>
    <row r="11" customFormat="false" ht="9" hidden="false" customHeight="true" outlineLevel="0" collapsed="false">
      <c r="A11" s="443"/>
      <c r="B11" s="444"/>
      <c r="C11" s="101"/>
      <c r="D11" s="101"/>
      <c r="E11" s="101"/>
      <c r="F11" s="101"/>
      <c r="G11" s="101"/>
      <c r="H11" s="101"/>
      <c r="I11" s="101"/>
      <c r="J11" s="101"/>
      <c r="K11" s="449"/>
      <c r="L11" s="448"/>
    </row>
    <row r="12" customFormat="false" ht="12.75" hidden="false" customHeight="true" outlineLevel="0" collapsed="false">
      <c r="A12" s="443"/>
      <c r="B12" s="446" t="s">
        <v>300</v>
      </c>
      <c r="C12" s="101"/>
      <c r="D12" s="101"/>
      <c r="E12" s="101"/>
      <c r="F12" s="101"/>
      <c r="G12" s="101"/>
      <c r="H12" s="101"/>
      <c r="I12" s="101"/>
      <c r="J12" s="101"/>
      <c r="K12" s="447"/>
      <c r="L12" s="448"/>
    </row>
    <row r="13" customFormat="false" ht="6.75" hidden="false" customHeight="true" outlineLevel="0" collapsed="false">
      <c r="A13" s="443"/>
      <c r="B13" s="444"/>
      <c r="C13" s="101"/>
      <c r="D13" s="101"/>
      <c r="E13" s="101"/>
      <c r="F13" s="101"/>
      <c r="G13" s="101"/>
      <c r="H13" s="101"/>
      <c r="I13" s="101"/>
      <c r="J13" s="101"/>
      <c r="K13" s="101"/>
      <c r="L13" s="450"/>
    </row>
    <row r="14" customFormat="false" ht="12.75" hidden="false" customHeight="true" outlineLevel="0" collapsed="false">
      <c r="A14" s="443" t="s">
        <v>301</v>
      </c>
      <c r="B14" s="101" t="s">
        <v>302</v>
      </c>
      <c r="C14" s="101"/>
      <c r="D14" s="101"/>
      <c r="E14" s="101"/>
      <c r="F14" s="101"/>
      <c r="G14" s="101"/>
      <c r="H14" s="101"/>
      <c r="I14" s="101"/>
      <c r="J14" s="444" t="s">
        <v>205</v>
      </c>
      <c r="K14" s="447"/>
      <c r="L14" s="448"/>
      <c r="M14" s="318"/>
    </row>
    <row r="15" customFormat="false" ht="9" hidden="false" customHeight="true" outlineLevel="0" collapsed="false">
      <c r="A15" s="443"/>
      <c r="B15" s="101"/>
      <c r="C15" s="101"/>
      <c r="D15" s="101"/>
      <c r="E15" s="101"/>
      <c r="F15" s="101"/>
      <c r="G15" s="101"/>
      <c r="H15" s="101"/>
      <c r="I15" s="101"/>
      <c r="J15" s="444"/>
      <c r="K15" s="101"/>
      <c r="L15" s="450"/>
      <c r="M15" s="318"/>
    </row>
    <row r="16" customFormat="false" ht="12.75" hidden="false" customHeight="true" outlineLevel="0" collapsed="false">
      <c r="A16" s="443"/>
      <c r="B16" s="451" t="s">
        <v>303</v>
      </c>
      <c r="C16" s="451"/>
      <c r="D16" s="451"/>
      <c r="E16" s="101"/>
      <c r="F16" s="101"/>
      <c r="G16" s="101"/>
      <c r="H16" s="101"/>
      <c r="I16" s="101"/>
      <c r="J16" s="444"/>
      <c r="K16" s="101"/>
      <c r="L16" s="452"/>
      <c r="M16" s="318"/>
    </row>
    <row r="17" customFormat="false" ht="12.75" hidden="false" customHeight="true" outlineLevel="0" collapsed="false">
      <c r="A17" s="453" t="s">
        <v>304</v>
      </c>
      <c r="B17" s="451"/>
      <c r="C17" s="451"/>
      <c r="D17" s="451"/>
      <c r="E17" s="101" t="s">
        <v>205</v>
      </c>
      <c r="F17" s="454"/>
      <c r="G17" s="444" t="s">
        <v>305</v>
      </c>
      <c r="H17" s="101" t="n">
        <v>0.6</v>
      </c>
      <c r="I17" s="101" t="s">
        <v>306</v>
      </c>
      <c r="J17" s="444" t="s">
        <v>205</v>
      </c>
      <c r="K17" s="455" t="n">
        <f aca="false">IF(F17&gt;0,F17*H17,0)</f>
        <v>0</v>
      </c>
      <c r="L17" s="456"/>
      <c r="M17" s="318"/>
    </row>
    <row r="18" customFormat="false" ht="6" hidden="false" customHeight="true" outlineLevel="0" collapsed="false">
      <c r="A18" s="443"/>
      <c r="B18" s="101"/>
      <c r="C18" s="101"/>
      <c r="D18" s="101"/>
      <c r="E18" s="101"/>
      <c r="F18" s="101"/>
      <c r="G18" s="101"/>
      <c r="H18" s="101"/>
      <c r="I18" s="101"/>
      <c r="J18" s="444"/>
      <c r="K18" s="101"/>
      <c r="L18" s="450"/>
      <c r="M18" s="318"/>
    </row>
    <row r="19" customFormat="false" ht="13.2" hidden="true" customHeight="true" outlineLevel="0" collapsed="false">
      <c r="A19" s="443"/>
      <c r="B19" s="101"/>
      <c r="C19" s="101"/>
      <c r="D19" s="101"/>
      <c r="E19" s="101"/>
      <c r="F19" s="101"/>
      <c r="G19" s="101"/>
      <c r="H19" s="101"/>
      <c r="I19" s="101"/>
      <c r="J19" s="444"/>
      <c r="K19" s="101"/>
      <c r="L19" s="450"/>
      <c r="M19" s="318"/>
    </row>
    <row r="20" customFormat="false" ht="12.75" hidden="true" customHeight="true" outlineLevel="0" collapsed="false">
      <c r="A20" s="443"/>
      <c r="B20" s="157"/>
      <c r="C20" s="101"/>
      <c r="D20" s="101"/>
      <c r="E20" s="101"/>
      <c r="F20" s="101"/>
      <c r="G20" s="101"/>
      <c r="H20" s="101"/>
      <c r="I20" s="101"/>
      <c r="J20" s="444"/>
      <c r="K20" s="457"/>
      <c r="L20" s="448"/>
      <c r="M20" s="318"/>
    </row>
    <row r="21" customFormat="false" ht="8.25" hidden="false" customHeight="true" outlineLevel="0" collapsed="false">
      <c r="A21" s="443"/>
      <c r="B21" s="157"/>
      <c r="C21" s="101"/>
      <c r="D21" s="101"/>
      <c r="E21" s="101"/>
      <c r="F21" s="101"/>
      <c r="G21" s="101"/>
      <c r="H21" s="101"/>
      <c r="I21" s="101"/>
      <c r="J21" s="444"/>
      <c r="K21" s="101"/>
      <c r="L21" s="450"/>
      <c r="M21" s="318"/>
    </row>
    <row r="22" customFormat="false" ht="12.75" hidden="false" customHeight="true" outlineLevel="0" collapsed="false">
      <c r="A22" s="443" t="s">
        <v>307</v>
      </c>
      <c r="B22" s="101" t="s">
        <v>308</v>
      </c>
      <c r="C22" s="101"/>
      <c r="D22" s="101"/>
      <c r="E22" s="101"/>
      <c r="F22" s="101"/>
      <c r="G22" s="101"/>
      <c r="H22" s="101"/>
      <c r="I22" s="101"/>
      <c r="J22" s="444" t="s">
        <v>205</v>
      </c>
      <c r="K22" s="458" t="n">
        <f aca="false">K14+K17+K20</f>
        <v>0</v>
      </c>
      <c r="L22" s="459"/>
      <c r="M22" s="318"/>
    </row>
    <row r="23" customFormat="false" ht="8.25" hidden="false" customHeight="true" outlineLevel="0" collapsed="false">
      <c r="A23" s="443"/>
      <c r="B23" s="101"/>
      <c r="C23" s="101"/>
      <c r="D23" s="101"/>
      <c r="E23" s="101"/>
      <c r="F23" s="101"/>
      <c r="G23" s="101"/>
      <c r="H23" s="101"/>
      <c r="I23" s="101"/>
      <c r="J23" s="444"/>
      <c r="K23" s="101"/>
      <c r="L23" s="450"/>
      <c r="M23" s="318"/>
    </row>
    <row r="24" customFormat="false" ht="13.2" hidden="false" customHeight="true" outlineLevel="0" collapsed="false">
      <c r="A24" s="443" t="s">
        <v>309</v>
      </c>
      <c r="B24" s="101" t="s">
        <v>310</v>
      </c>
      <c r="C24" s="101"/>
      <c r="D24" s="101"/>
      <c r="E24" s="101"/>
      <c r="F24" s="101"/>
      <c r="G24" s="101"/>
      <c r="H24" s="101"/>
      <c r="I24" s="101"/>
      <c r="J24" s="444"/>
      <c r="K24" s="101"/>
      <c r="L24" s="450"/>
      <c r="M24" s="318"/>
    </row>
    <row r="25" customFormat="false" ht="12.75" hidden="false" customHeight="true" outlineLevel="0" collapsed="false">
      <c r="A25" s="443"/>
      <c r="B25" s="157" t="s">
        <v>311</v>
      </c>
      <c r="C25" s="101"/>
      <c r="D25" s="101"/>
      <c r="E25" s="101"/>
      <c r="F25" s="101"/>
      <c r="G25" s="101"/>
      <c r="H25" s="101"/>
      <c r="I25" s="101"/>
      <c r="J25" s="444" t="s">
        <v>206</v>
      </c>
      <c r="K25" s="455" t="n">
        <f aca="false">('costo-mq'!$O$82)/2</f>
        <v>156.36555</v>
      </c>
      <c r="L25" s="456"/>
    </row>
    <row r="26" customFormat="false" ht="6" hidden="false" customHeight="true" outlineLevel="0" collapsed="false">
      <c r="A26" s="443"/>
      <c r="B26" s="101"/>
      <c r="C26" s="101"/>
      <c r="D26" s="101"/>
      <c r="E26" s="101"/>
      <c r="F26" s="101"/>
      <c r="G26" s="101"/>
      <c r="H26" s="101"/>
      <c r="I26" s="101"/>
      <c r="J26" s="444"/>
      <c r="K26" s="154"/>
      <c r="L26" s="460"/>
      <c r="M26" s="318"/>
    </row>
    <row r="27" customFormat="false" ht="18" hidden="true" customHeight="true" outlineLevel="0" collapsed="false">
      <c r="A27" s="443"/>
      <c r="B27" s="101"/>
      <c r="C27" s="101"/>
      <c r="D27" s="101"/>
      <c r="E27" s="101"/>
      <c r="F27" s="101"/>
      <c r="G27" s="101"/>
      <c r="H27" s="461"/>
      <c r="I27" s="101"/>
      <c r="J27" s="444"/>
      <c r="K27" s="154"/>
      <c r="L27" s="460"/>
      <c r="M27" s="462"/>
    </row>
    <row r="28" customFormat="false" ht="6" hidden="false" customHeight="true" outlineLevel="0" collapsed="false">
      <c r="A28" s="443"/>
      <c r="B28" s="101"/>
      <c r="C28" s="101"/>
      <c r="D28" s="101"/>
      <c r="E28" s="101"/>
      <c r="F28" s="101"/>
      <c r="G28" s="101"/>
      <c r="H28" s="101"/>
      <c r="I28" s="101"/>
      <c r="J28" s="444"/>
      <c r="K28" s="154"/>
      <c r="L28" s="463"/>
      <c r="M28" s="318"/>
    </row>
    <row r="29" customFormat="false" ht="12.75" hidden="false" customHeight="true" outlineLevel="0" collapsed="false">
      <c r="A29" s="443" t="s">
        <v>312</v>
      </c>
      <c r="B29" s="464" t="s">
        <v>313</v>
      </c>
      <c r="C29" s="465"/>
      <c r="D29" s="465"/>
      <c r="E29" s="465"/>
      <c r="F29" s="465"/>
      <c r="G29" s="465"/>
      <c r="H29" s="465"/>
      <c r="I29" s="465"/>
      <c r="J29" s="466" t="s">
        <v>169</v>
      </c>
      <c r="K29" s="458" t="n">
        <f aca="false">K22*K25</f>
        <v>0</v>
      </c>
      <c r="L29" s="459"/>
      <c r="M29" s="318"/>
    </row>
    <row r="30" customFormat="false" ht="13.2" hidden="false" customHeight="true" outlineLevel="0" collapsed="false">
      <c r="A30" s="167"/>
      <c r="B30" s="142"/>
      <c r="C30" s="142"/>
      <c r="D30" s="142"/>
      <c r="E30" s="142"/>
      <c r="F30" s="142"/>
      <c r="G30" s="142"/>
      <c r="H30" s="142"/>
      <c r="I30" s="142"/>
      <c r="J30" s="142"/>
      <c r="K30" s="142"/>
      <c r="L30" s="379"/>
      <c r="M30" s="318"/>
    </row>
    <row r="31" customFormat="false" ht="5.1" hidden="false" customHeight="true" outlineLevel="0" collapsed="false">
      <c r="A31" s="167"/>
      <c r="B31" s="142"/>
      <c r="C31" s="142"/>
      <c r="D31" s="142"/>
      <c r="E31" s="142"/>
      <c r="F31" s="142"/>
      <c r="G31" s="142"/>
      <c r="H31" s="142"/>
      <c r="I31" s="142"/>
      <c r="J31" s="142"/>
      <c r="K31" s="142"/>
      <c r="L31" s="379"/>
      <c r="M31" s="318"/>
    </row>
    <row r="32" customFormat="false" ht="13.2" hidden="false" customHeight="true" outlineLevel="0" collapsed="false">
      <c r="A32" s="467" t="s">
        <v>314</v>
      </c>
      <c r="B32" s="467"/>
      <c r="C32" s="467"/>
      <c r="D32" s="467"/>
      <c r="E32" s="467"/>
      <c r="F32" s="467"/>
      <c r="G32" s="467"/>
      <c r="H32" s="467"/>
      <c r="I32" s="467"/>
      <c r="J32" s="467"/>
      <c r="K32" s="467"/>
      <c r="L32" s="467"/>
      <c r="M32" s="318"/>
    </row>
    <row r="33" customFormat="false" ht="5.1" hidden="false" customHeight="true" outlineLevel="0" collapsed="false">
      <c r="A33" s="167"/>
      <c r="B33" s="142"/>
      <c r="C33" s="142"/>
      <c r="D33" s="142"/>
      <c r="E33" s="142"/>
      <c r="F33" s="142"/>
      <c r="G33" s="142"/>
      <c r="H33" s="142"/>
      <c r="I33" s="142"/>
      <c r="J33" s="142"/>
      <c r="K33" s="142"/>
      <c r="L33" s="379"/>
      <c r="M33" s="318"/>
    </row>
    <row r="34" customFormat="false" ht="16.5" hidden="false" customHeight="true" outlineLevel="0" collapsed="false">
      <c r="A34" s="167"/>
      <c r="B34" s="352" t="s">
        <v>225</v>
      </c>
      <c r="C34" s="142"/>
      <c r="D34" s="383" t="s">
        <v>315</v>
      </c>
      <c r="E34" s="383"/>
      <c r="F34" s="388" t="s">
        <v>316</v>
      </c>
      <c r="G34" s="142"/>
      <c r="H34" s="142"/>
      <c r="I34" s="383" t="s">
        <v>317</v>
      </c>
      <c r="J34" s="383"/>
      <c r="K34" s="383"/>
      <c r="L34" s="379"/>
      <c r="M34" s="318"/>
    </row>
    <row r="35" customFormat="false" ht="11.25" hidden="false" customHeight="true" outlineLevel="0" collapsed="false">
      <c r="A35" s="167"/>
      <c r="B35" s="142"/>
      <c r="C35" s="142"/>
      <c r="D35" s="383"/>
      <c r="E35" s="383"/>
      <c r="F35" s="355"/>
      <c r="G35" s="142"/>
      <c r="H35" s="142"/>
      <c r="I35" s="383"/>
      <c r="J35" s="383"/>
      <c r="K35" s="383"/>
      <c r="L35" s="379"/>
      <c r="M35" s="318"/>
      <c r="N35" s="468" t="n">
        <f aca="false">SUM(E39:E49)</f>
        <v>0.07</v>
      </c>
      <c r="P35" s="468" t="n">
        <f aca="false">SUM(J37:J49)</f>
        <v>0.07</v>
      </c>
    </row>
    <row r="36" customFormat="false" ht="6" hidden="false" customHeight="true" outlineLevel="0" collapsed="false">
      <c r="A36" s="167"/>
      <c r="B36" s="142"/>
      <c r="C36" s="142"/>
      <c r="D36" s="383"/>
      <c r="E36" s="383"/>
      <c r="F36" s="355"/>
      <c r="G36" s="142"/>
      <c r="H36" s="142"/>
      <c r="I36" s="383"/>
      <c r="J36" s="383"/>
      <c r="K36" s="383"/>
      <c r="L36" s="379"/>
      <c r="M36" s="318"/>
    </row>
    <row r="37" customFormat="false" ht="13.5" hidden="false" customHeight="true" outlineLevel="0" collapsed="false">
      <c r="A37" s="167"/>
      <c r="B37" s="142"/>
      <c r="C37" s="142"/>
      <c r="D37" s="383"/>
      <c r="E37" s="383"/>
      <c r="F37" s="205" t="s">
        <v>318</v>
      </c>
      <c r="G37" s="403" t="str">
        <f aca="false">IF(K12&gt;60,"X","-")</f>
        <v>-</v>
      </c>
      <c r="H37" s="142"/>
      <c r="I37" s="142"/>
      <c r="J37" s="469"/>
      <c r="K37" s="383"/>
      <c r="L37" s="379"/>
      <c r="M37" s="318"/>
    </row>
    <row r="38" customFormat="false" ht="6" hidden="false" customHeight="true" outlineLevel="0" collapsed="false">
      <c r="A38" s="167"/>
      <c r="B38" s="142"/>
      <c r="C38" s="142"/>
      <c r="D38" s="142"/>
      <c r="E38" s="142"/>
      <c r="K38" s="142"/>
      <c r="L38" s="379"/>
      <c r="M38" s="318"/>
    </row>
    <row r="39" customFormat="false" ht="13.2" hidden="false" customHeight="true" outlineLevel="0" collapsed="false">
      <c r="A39" s="167"/>
      <c r="B39" s="295" t="s">
        <v>319</v>
      </c>
      <c r="C39" s="403" t="str">
        <f aca="false">IF(K10&gt;160,"X","-")</f>
        <v>-</v>
      </c>
      <c r="D39" s="142"/>
      <c r="E39" s="470" t="str">
        <f aca="false">IF($C$49="X"," ",IF(C39="X",N39,IF(C39="-"," ",0)))</f>
        <v> </v>
      </c>
      <c r="F39" s="205" t="s">
        <v>320</v>
      </c>
      <c r="G39" s="403" t="str">
        <f aca="false">IF(K12&gt;60,"-",IF(K12&gt;55,"X","-"))</f>
        <v>-</v>
      </c>
      <c r="H39" s="142"/>
      <c r="I39" s="142"/>
      <c r="J39" s="469" t="str">
        <f aca="false">O39</f>
        <v> </v>
      </c>
      <c r="L39" s="379"/>
      <c r="M39" s="471" t="n">
        <f aca="false">IF(E39=" ",0,IF(G39="x","9%",IF(G37="x","10%",0)))</f>
        <v>0</v>
      </c>
      <c r="N39" s="472" t="n">
        <v>0.09</v>
      </c>
      <c r="O39" s="473" t="str">
        <f aca="false">IF(E39&lt;&gt;" ",IF(K12&gt;60,P39,N39)," ")</f>
        <v> </v>
      </c>
      <c r="P39" s="472" t="n">
        <v>0.1</v>
      </c>
    </row>
    <row r="40" customFormat="false" ht="6" hidden="false" customHeight="true" outlineLevel="0" collapsed="false">
      <c r="A40" s="167"/>
      <c r="B40" s="295"/>
      <c r="C40" s="142"/>
      <c r="D40" s="142"/>
      <c r="E40" s="105"/>
      <c r="F40" s="205"/>
      <c r="G40" s="142"/>
      <c r="H40" s="142"/>
      <c r="I40" s="142"/>
      <c r="J40" s="156"/>
      <c r="L40" s="379"/>
      <c r="M40" s="474"/>
    </row>
    <row r="41" customFormat="false" ht="12.75" hidden="false" customHeight="true" outlineLevel="0" collapsed="false">
      <c r="A41" s="167"/>
      <c r="B41" s="295" t="s">
        <v>321</v>
      </c>
      <c r="C41" s="403" t="str">
        <f aca="false">IF(K10&gt;160,"-",IF(K10&lt;130,"-",IF(K10&lt;160,"X",0)))</f>
        <v>-</v>
      </c>
      <c r="D41" s="142"/>
      <c r="E41" s="470" t="str">
        <f aca="false">IF($C$49="X"," ",IF(C41="X",N41,IF(C41="-"," ",0)))</f>
        <v> </v>
      </c>
      <c r="F41" s="205" t="s">
        <v>322</v>
      </c>
      <c r="G41" s="403" t="str">
        <f aca="false">IF(K12&gt;55,"-",IF(K12&gt;50,"X","-"))</f>
        <v>-</v>
      </c>
      <c r="H41" s="142"/>
      <c r="I41" s="142"/>
      <c r="J41" s="469" t="str">
        <f aca="false">O41</f>
        <v> </v>
      </c>
      <c r="K41" s="475"/>
      <c r="L41" s="379"/>
      <c r="M41" s="471" t="n">
        <f aca="false">IF(E41=" ",0,IF(G39="x","9%",IF(E39="-","8%",0)))</f>
        <v>0</v>
      </c>
      <c r="N41" s="472" t="n">
        <v>0.08</v>
      </c>
      <c r="O41" s="425" t="str">
        <f aca="false">IF(E41&lt;&gt;" ",IF(K12&gt;55,P41,N41)," ")</f>
        <v> </v>
      </c>
      <c r="P41" s="472" t="n">
        <v>0.09</v>
      </c>
    </row>
    <row r="42" customFormat="false" ht="5.1" hidden="false" customHeight="true" outlineLevel="0" collapsed="false">
      <c r="A42" s="167"/>
      <c r="B42" s="295"/>
      <c r="C42" s="142"/>
      <c r="D42" s="142"/>
      <c r="E42" s="105"/>
      <c r="F42" s="205"/>
      <c r="G42" s="142"/>
      <c r="H42" s="142"/>
      <c r="I42" s="142"/>
      <c r="J42" s="156"/>
      <c r="K42" s="142"/>
      <c r="L42" s="379"/>
      <c r="M42" s="471"/>
    </row>
    <row r="43" customFormat="false" ht="13.2" hidden="false" customHeight="true" outlineLevel="0" collapsed="false">
      <c r="A43" s="167"/>
      <c r="B43" s="295" t="s">
        <v>323</v>
      </c>
      <c r="C43" s="403" t="str">
        <f aca="false">IF(K10&gt;130,"-",IF(K10&lt;110,"-",IF(K10&lt;130,"X",0)))</f>
        <v>-</v>
      </c>
      <c r="D43" s="142"/>
      <c r="E43" s="470" t="str">
        <f aca="false">IF($C$49="X"," ",IF(C43="X",N43,IF(C43="-"," ",0)))</f>
        <v> </v>
      </c>
      <c r="F43" s="205" t="s">
        <v>324</v>
      </c>
      <c r="G43" s="403" t="str">
        <f aca="false">IF(K12&gt;50,"-",IF(K12&gt;45,"X","-"))</f>
        <v>-</v>
      </c>
      <c r="H43" s="142"/>
      <c r="I43" s="142"/>
      <c r="J43" s="469" t="str">
        <f aca="false">O43</f>
        <v> </v>
      </c>
      <c r="K43" s="475"/>
      <c r="L43" s="379"/>
      <c r="M43" s="471" t="n">
        <f aca="false">IF(E43=" ",0,IF(G41="x","9%",IF(G39="x","9%",IF(E43="8%","8%",0))))</f>
        <v>0</v>
      </c>
      <c r="N43" s="472" t="n">
        <v>0.08</v>
      </c>
      <c r="O43" s="425" t="str">
        <f aca="false">IF(E43&lt;&gt;" ",IF(K12&gt;50,P43,N43)," ")</f>
        <v> </v>
      </c>
      <c r="P43" s="472" t="n">
        <v>0.09</v>
      </c>
    </row>
    <row r="44" customFormat="false" ht="5.1" hidden="false" customHeight="true" outlineLevel="0" collapsed="false">
      <c r="A44" s="167"/>
      <c r="B44" s="295"/>
      <c r="C44" s="142"/>
      <c r="D44" s="142"/>
      <c r="E44" s="105"/>
      <c r="F44" s="205"/>
      <c r="G44" s="142"/>
      <c r="H44" s="142"/>
      <c r="I44" s="142"/>
      <c r="J44" s="156"/>
      <c r="K44" s="142"/>
      <c r="L44" s="379"/>
      <c r="M44" s="471"/>
    </row>
    <row r="45" customFormat="false" ht="13.2" hidden="false" customHeight="true" outlineLevel="0" collapsed="false">
      <c r="A45" s="167"/>
      <c r="B45" s="295" t="s">
        <v>325</v>
      </c>
      <c r="C45" s="403" t="str">
        <f aca="false">IF(K10&gt;110,"-",IF(K10&lt;95,"-",IF(K10&lt;110,"X",0)))</f>
        <v>-</v>
      </c>
      <c r="D45" s="142"/>
      <c r="E45" s="470" t="str">
        <f aca="false">IF($C$49="X"," ",IF(C45="X",N45,IF(C45="-"," ",0)))</f>
        <v> </v>
      </c>
      <c r="F45" s="205" t="s">
        <v>326</v>
      </c>
      <c r="G45" s="403" t="str">
        <f aca="false">IF(K12&gt;45,"-",IF(K12&gt;40,"X","-"))</f>
        <v>-</v>
      </c>
      <c r="H45" s="142"/>
      <c r="I45" s="142"/>
      <c r="J45" s="469" t="str">
        <f aca="false">O45</f>
        <v> </v>
      </c>
      <c r="K45" s="475"/>
      <c r="L45" s="379"/>
      <c r="M45" s="471" t="n">
        <f aca="false">IF(E45=" ",0,IF(G43="x","8%",IF(G41="x","8%",IF(G39="x","8%",IF(E45="7%","7%",0)))))</f>
        <v>0</v>
      </c>
      <c r="N45" s="472" t="n">
        <v>0.07</v>
      </c>
      <c r="O45" s="425" t="str">
        <f aca="false">IF(E45&lt;&gt;" ",IF(K12&gt;45,P45,N45)," ")</f>
        <v> </v>
      </c>
      <c r="P45" s="472" t="n">
        <v>0.08</v>
      </c>
    </row>
    <row r="46" customFormat="false" ht="5.1" hidden="false" customHeight="true" outlineLevel="0" collapsed="false">
      <c r="A46" s="167"/>
      <c r="B46" s="295"/>
      <c r="C46" s="142"/>
      <c r="D46" s="142"/>
      <c r="E46" s="105"/>
      <c r="F46" s="205"/>
      <c r="G46" s="142"/>
      <c r="H46" s="142"/>
      <c r="I46" s="142"/>
      <c r="J46" s="156"/>
      <c r="K46" s="142"/>
      <c r="L46" s="379"/>
      <c r="M46" s="474"/>
    </row>
    <row r="47" customFormat="false" ht="13.2" hidden="false" customHeight="true" outlineLevel="0" collapsed="false">
      <c r="A47" s="167"/>
      <c r="B47" s="295" t="s">
        <v>327</v>
      </c>
      <c r="C47" s="403" t="str">
        <f aca="false">IF(K10&lt;95,"X","-")</f>
        <v>X</v>
      </c>
      <c r="D47" s="142"/>
      <c r="E47" s="469" t="n">
        <f aca="false">IF($C$49="X"," ",IF(C47="X",N47,IF(C47="-"," ",0)))</f>
        <v>0.07</v>
      </c>
      <c r="F47" s="205" t="s">
        <v>328</v>
      </c>
      <c r="G47" s="403" t="str">
        <f aca="false">IF(K12&lt;=40,"X","-")</f>
        <v>X</v>
      </c>
      <c r="H47" s="142"/>
      <c r="I47" s="142"/>
      <c r="J47" s="469" t="n">
        <f aca="false">O47</f>
        <v>0.07</v>
      </c>
      <c r="K47" s="475"/>
      <c r="L47" s="379"/>
      <c r="M47" s="471" t="n">
        <f aca="false">IF(E47=" ",0,IF(G45="x","8%",IF(G43="x","8%",IF(G41="x","8%",IF(G39="x","8%",IF(E47="7%","7%",0))))))</f>
        <v>0</v>
      </c>
      <c r="N47" s="472" t="n">
        <v>0.07</v>
      </c>
      <c r="O47" s="472" t="n">
        <f aca="false">IF(E47&lt;&gt;" ",IF(K12&gt;40,P47,N47)," ")</f>
        <v>0.07</v>
      </c>
      <c r="P47" s="472" t="n">
        <v>0.08</v>
      </c>
    </row>
    <row r="48" customFormat="false" ht="5.1" hidden="false" customHeight="true" outlineLevel="0" collapsed="false">
      <c r="A48" s="167"/>
      <c r="B48" s="142"/>
      <c r="C48" s="142"/>
      <c r="D48" s="142"/>
      <c r="E48" s="105"/>
      <c r="K48" s="142"/>
      <c r="L48" s="379"/>
      <c r="M48" s="474"/>
    </row>
    <row r="49" customFormat="false" ht="13.2" hidden="false" customHeight="true" outlineLevel="0" collapsed="false">
      <c r="A49" s="167"/>
      <c r="B49" s="295" t="s">
        <v>329</v>
      </c>
      <c r="C49" s="476"/>
      <c r="D49" s="142"/>
      <c r="E49" s="475" t="str">
        <f aca="false">IF(C49="X",N49," ")</f>
        <v> </v>
      </c>
      <c r="J49" s="477" t="str">
        <f aca="false">E49</f>
        <v> </v>
      </c>
      <c r="K49" s="475" t="s">
        <v>330</v>
      </c>
      <c r="L49" s="379"/>
      <c r="M49" s="471" t="n">
        <f aca="false">IF(J49=" ",0,IF(J49="10%",0.1,0))</f>
        <v>0</v>
      </c>
      <c r="N49" s="472" t="n">
        <v>0.1</v>
      </c>
    </row>
    <row r="50" customFormat="false" ht="9" hidden="false" customHeight="true" outlineLevel="0" collapsed="false">
      <c r="A50" s="167"/>
      <c r="B50" s="142"/>
      <c r="C50" s="142"/>
      <c r="D50" s="142"/>
      <c r="E50" s="142"/>
      <c r="F50" s="142"/>
      <c r="G50" s="142"/>
      <c r="H50" s="142"/>
      <c r="I50" s="142"/>
      <c r="J50" s="142"/>
      <c r="K50" s="142"/>
      <c r="L50" s="379"/>
      <c r="M50" s="471" t="n">
        <f aca="false">M39+M41+M43+M45+M47+M49</f>
        <v>0</v>
      </c>
    </row>
    <row r="51" customFormat="false" ht="6" hidden="false" customHeight="true" outlineLevel="0" collapsed="false">
      <c r="A51" s="167"/>
      <c r="B51" s="142"/>
      <c r="C51" s="142"/>
      <c r="D51" s="142"/>
      <c r="E51" s="142"/>
      <c r="F51" s="142"/>
      <c r="G51" s="142"/>
      <c r="H51" s="142"/>
      <c r="I51" s="142"/>
      <c r="J51" s="142"/>
      <c r="K51" s="142"/>
      <c r="L51" s="379"/>
      <c r="M51" s="318"/>
    </row>
    <row r="52" customFormat="false" ht="12.75" hidden="false" customHeight="true" outlineLevel="0" collapsed="false">
      <c r="A52" s="167"/>
      <c r="B52" s="142" t="s">
        <v>331</v>
      </c>
      <c r="C52" s="142"/>
      <c r="D52" s="142"/>
      <c r="E52" s="142"/>
      <c r="F52" s="142"/>
      <c r="G52" s="476"/>
      <c r="H52" s="142"/>
      <c r="I52" s="142"/>
      <c r="J52" s="142"/>
      <c r="K52" s="142"/>
      <c r="L52" s="379"/>
      <c r="M52" s="318"/>
      <c r="N52" s="425" t="n">
        <f aca="false">IF(G52="X",1,0)</f>
        <v>0</v>
      </c>
    </row>
    <row r="53" customFormat="false" ht="6" hidden="false" customHeight="true" outlineLevel="0" collapsed="false">
      <c r="A53" s="167"/>
      <c r="B53" s="142"/>
      <c r="C53" s="142"/>
      <c r="D53" s="142"/>
      <c r="E53" s="142"/>
      <c r="F53" s="142"/>
      <c r="G53" s="295"/>
      <c r="H53" s="142"/>
      <c r="I53" s="142"/>
      <c r="J53" s="142"/>
      <c r="K53" s="142"/>
      <c r="L53" s="379"/>
      <c r="M53" s="318"/>
    </row>
    <row r="54" customFormat="false" ht="13.2" hidden="false" customHeight="true" outlineLevel="0" collapsed="false">
      <c r="A54" s="167"/>
      <c r="B54" s="142" t="s">
        <v>332</v>
      </c>
      <c r="C54" s="142"/>
      <c r="D54" s="142"/>
      <c r="E54" s="142"/>
      <c r="F54" s="142"/>
      <c r="G54" s="476" t="s">
        <v>238</v>
      </c>
      <c r="H54" s="142"/>
      <c r="I54" s="142"/>
      <c r="J54" s="142"/>
      <c r="K54" s="142"/>
      <c r="L54" s="379"/>
      <c r="M54" s="318"/>
      <c r="N54" s="425" t="n">
        <f aca="false">IF(G54="X",1,0)</f>
        <v>0</v>
      </c>
    </row>
    <row r="55" customFormat="false" ht="5.1" hidden="false" customHeight="true" outlineLevel="0" collapsed="false">
      <c r="A55" s="167"/>
      <c r="B55" s="142"/>
      <c r="C55" s="142"/>
      <c r="D55" s="142"/>
      <c r="E55" s="142"/>
      <c r="F55" s="142"/>
      <c r="G55" s="295"/>
      <c r="H55" s="142"/>
      <c r="I55" s="142"/>
      <c r="J55" s="142"/>
      <c r="K55" s="142"/>
      <c r="L55" s="379"/>
      <c r="M55" s="318"/>
    </row>
    <row r="56" customFormat="false" ht="12.75" hidden="false" customHeight="true" outlineLevel="0" collapsed="false">
      <c r="A56" s="167"/>
      <c r="B56" s="142" t="s">
        <v>333</v>
      </c>
      <c r="C56" s="142"/>
      <c r="D56" s="142"/>
      <c r="E56" s="142"/>
      <c r="F56" s="142"/>
      <c r="G56" s="476"/>
      <c r="H56" s="142"/>
      <c r="I56" s="142"/>
      <c r="J56" s="142"/>
      <c r="K56" s="142"/>
      <c r="L56" s="379"/>
      <c r="M56" s="318"/>
      <c r="N56" s="425" t="n">
        <f aca="false">IF(G56="X",1,0)</f>
        <v>0</v>
      </c>
    </row>
    <row r="57" customFormat="false" ht="4.5" hidden="false" customHeight="true" outlineLevel="0" collapsed="false">
      <c r="A57" s="167"/>
      <c r="B57" s="142"/>
      <c r="C57" s="142"/>
      <c r="D57" s="142"/>
      <c r="E57" s="142"/>
      <c r="F57" s="142"/>
      <c r="G57" s="142"/>
      <c r="H57" s="142"/>
      <c r="I57" s="142"/>
      <c r="J57" s="142"/>
      <c r="K57" s="142"/>
      <c r="L57" s="379"/>
      <c r="M57" s="318"/>
    </row>
    <row r="58" customFormat="false" ht="15" hidden="false" customHeight="true" outlineLevel="0" collapsed="false">
      <c r="A58" s="167"/>
      <c r="B58" s="142" t="s">
        <v>334</v>
      </c>
      <c r="C58" s="142"/>
      <c r="D58" s="142"/>
      <c r="E58" s="142"/>
      <c r="F58" s="142"/>
      <c r="G58" s="142"/>
      <c r="H58" s="142"/>
      <c r="I58" s="142"/>
      <c r="J58" s="142"/>
      <c r="K58" s="478" t="n">
        <f aca="false">IF(N58&gt;0,O58-0.01,O58)</f>
        <v>0.07</v>
      </c>
      <c r="L58" s="478"/>
      <c r="M58" s="318"/>
      <c r="N58" s="425" t="n">
        <f aca="false">N52+N54+N56</f>
        <v>0</v>
      </c>
      <c r="O58" s="473" t="n">
        <f aca="false">IF(J49&lt;&gt;" ",J49,P35)</f>
        <v>0.07</v>
      </c>
    </row>
    <row r="59" customFormat="false" ht="4.5" hidden="false" customHeight="true" outlineLevel="0" collapsed="false">
      <c r="A59" s="167"/>
      <c r="B59" s="142"/>
      <c r="C59" s="142"/>
      <c r="D59" s="142"/>
      <c r="E59" s="142"/>
      <c r="F59" s="142"/>
      <c r="G59" s="142"/>
      <c r="H59" s="142"/>
      <c r="I59" s="142"/>
      <c r="J59" s="142"/>
      <c r="K59" s="142"/>
      <c r="L59" s="379"/>
      <c r="M59" s="318"/>
    </row>
    <row r="60" customFormat="false" ht="4.5" hidden="false" customHeight="true" outlineLevel="0" collapsed="false">
      <c r="A60" s="167"/>
      <c r="B60" s="142"/>
      <c r="C60" s="142"/>
      <c r="D60" s="142"/>
      <c r="E60" s="142"/>
      <c r="F60" s="142"/>
      <c r="G60" s="142"/>
      <c r="H60" s="142"/>
      <c r="I60" s="142"/>
      <c r="J60" s="142"/>
      <c r="K60" s="142"/>
      <c r="L60" s="379"/>
      <c r="M60" s="318"/>
    </row>
    <row r="61" customFormat="false" ht="12.75" hidden="false" customHeight="true" outlineLevel="0" collapsed="false">
      <c r="A61" s="467" t="s">
        <v>335</v>
      </c>
      <c r="B61" s="467"/>
      <c r="C61" s="467"/>
      <c r="D61" s="467"/>
      <c r="E61" s="467"/>
      <c r="F61" s="467"/>
      <c r="G61" s="467"/>
      <c r="H61" s="467"/>
      <c r="I61" s="467"/>
      <c r="J61" s="467"/>
      <c r="K61" s="467"/>
      <c r="L61" s="467"/>
      <c r="M61" s="318"/>
    </row>
    <row r="62" customFormat="false" ht="6" hidden="false" customHeight="true" outlineLevel="0" collapsed="false">
      <c r="A62" s="167"/>
      <c r="B62" s="142"/>
      <c r="C62" s="142"/>
      <c r="D62" s="142"/>
      <c r="E62" s="142"/>
      <c r="F62" s="142"/>
      <c r="G62" s="142"/>
      <c r="H62" s="142"/>
      <c r="I62" s="142"/>
      <c r="J62" s="142"/>
      <c r="K62" s="142"/>
      <c r="L62" s="379"/>
      <c r="M62" s="318"/>
    </row>
    <row r="63" customFormat="false" ht="18" hidden="false" customHeight="true" outlineLevel="0" collapsed="false">
      <c r="A63" s="167"/>
      <c r="B63" s="142" t="s">
        <v>336</v>
      </c>
      <c r="C63" s="142"/>
      <c r="D63" s="142"/>
      <c r="E63" s="142"/>
      <c r="F63" s="142"/>
      <c r="G63" s="142"/>
      <c r="H63" s="142" t="s">
        <v>169</v>
      </c>
      <c r="I63" s="479" t="n">
        <f aca="false">K29</f>
        <v>0</v>
      </c>
      <c r="J63" s="479"/>
      <c r="K63" s="479"/>
      <c r="L63" s="479"/>
      <c r="M63" s="318"/>
    </row>
    <row r="64" customFormat="false" ht="5.1" hidden="false" customHeight="true" outlineLevel="0" collapsed="false">
      <c r="A64" s="167"/>
      <c r="B64" s="142"/>
      <c r="C64" s="142"/>
      <c r="D64" s="142"/>
      <c r="E64" s="142"/>
      <c r="F64" s="142"/>
      <c r="G64" s="142"/>
      <c r="H64" s="142"/>
      <c r="I64" s="142"/>
      <c r="J64" s="142"/>
      <c r="K64" s="142"/>
      <c r="L64" s="379"/>
      <c r="M64" s="318"/>
    </row>
    <row r="65" customFormat="false" ht="18" hidden="false" customHeight="true" outlineLevel="0" collapsed="false">
      <c r="A65" s="167"/>
      <c r="B65" s="142" t="s">
        <v>337</v>
      </c>
      <c r="C65" s="142"/>
      <c r="D65" s="142"/>
      <c r="E65" s="142"/>
      <c r="F65" s="142"/>
      <c r="G65" s="142"/>
      <c r="H65" s="142" t="s">
        <v>338</v>
      </c>
      <c r="I65" s="480" t="n">
        <f aca="false">K58</f>
        <v>0.07</v>
      </c>
      <c r="J65" s="480"/>
      <c r="K65" s="480"/>
      <c r="L65" s="480"/>
      <c r="M65" s="318"/>
    </row>
    <row r="66" customFormat="false" ht="5.1" hidden="false" customHeight="true" outlineLevel="0" collapsed="false">
      <c r="A66" s="167"/>
      <c r="B66" s="142"/>
      <c r="C66" s="142"/>
      <c r="D66" s="142"/>
      <c r="E66" s="142"/>
      <c r="F66" s="142"/>
      <c r="G66" s="142"/>
      <c r="H66" s="142"/>
      <c r="I66" s="142"/>
      <c r="J66" s="142"/>
      <c r="K66" s="142"/>
      <c r="L66" s="379"/>
      <c r="M66" s="318"/>
    </row>
    <row r="67" customFormat="false" ht="18" hidden="false" customHeight="true" outlineLevel="0" collapsed="false">
      <c r="A67" s="481"/>
      <c r="B67" s="197" t="s">
        <v>339</v>
      </c>
      <c r="C67" s="197"/>
      <c r="D67" s="197"/>
      <c r="E67" s="197"/>
      <c r="F67" s="197"/>
      <c r="G67" s="197"/>
      <c r="H67" s="197" t="s">
        <v>169</v>
      </c>
      <c r="I67" s="482" t="n">
        <f aca="false">I63*I65</f>
        <v>0</v>
      </c>
      <c r="J67" s="482"/>
      <c r="K67" s="482"/>
      <c r="L67" s="482"/>
      <c r="M67" s="318"/>
    </row>
    <row r="68" s="112" customFormat="true" ht="28.35" hidden="false" customHeight="true" outlineLevel="0" collapsed="false">
      <c r="A68" s="483"/>
      <c r="B68" s="484"/>
      <c r="C68" s="484"/>
      <c r="D68" s="484"/>
      <c r="E68" s="484"/>
      <c r="F68" s="484"/>
      <c r="G68" s="484"/>
      <c r="H68" s="484"/>
      <c r="I68" s="484"/>
      <c r="J68" s="484"/>
      <c r="K68" s="484"/>
      <c r="L68" s="485"/>
      <c r="M68" s="430"/>
      <c r="N68" s="118"/>
      <c r="O68" s="118"/>
      <c r="P68" s="118"/>
      <c r="Q68" s="118"/>
      <c r="R68" s="118"/>
    </row>
    <row r="69" s="112" customFormat="true" ht="18" hidden="false" customHeight="true" outlineLevel="0" collapsed="false">
      <c r="A69" s="432" t="s">
        <v>341</v>
      </c>
      <c r="B69" s="209"/>
      <c r="C69" s="209"/>
      <c r="D69" s="209"/>
      <c r="E69" s="209"/>
      <c r="F69" s="434" t="s">
        <v>162</v>
      </c>
      <c r="G69" s="211"/>
      <c r="H69" s="211"/>
      <c r="I69" s="123"/>
      <c r="J69" s="436"/>
      <c r="K69" s="434" t="s">
        <v>297</v>
      </c>
      <c r="L69" s="437"/>
      <c r="M69" s="430"/>
      <c r="N69" s="118"/>
      <c r="O69" s="118"/>
      <c r="P69" s="118"/>
      <c r="Q69" s="118"/>
      <c r="R69" s="118"/>
    </row>
    <row r="70" s="112" customFormat="true" ht="9.75" hidden="false" customHeight="true" outlineLevel="0" collapsed="false">
      <c r="A70" s="438"/>
      <c r="B70" s="439"/>
      <c r="C70" s="440"/>
      <c r="D70" s="440"/>
      <c r="E70" s="123"/>
      <c r="F70" s="440"/>
      <c r="G70" s="434"/>
      <c r="H70" s="440"/>
      <c r="I70" s="123"/>
      <c r="J70" s="434"/>
      <c r="K70" s="441"/>
      <c r="L70" s="488"/>
      <c r="M70" s="430"/>
      <c r="N70" s="118"/>
      <c r="O70" s="118"/>
      <c r="P70" s="118"/>
      <c r="Q70" s="118"/>
      <c r="R70" s="118"/>
    </row>
    <row r="71" customFormat="false" ht="13.2" hidden="false" customHeight="true" outlineLevel="0" collapsed="false">
      <c r="A71" s="442" t="s">
        <v>298</v>
      </c>
      <c r="B71" s="442"/>
      <c r="C71" s="442"/>
      <c r="D71" s="442"/>
      <c r="E71" s="442"/>
      <c r="F71" s="442"/>
      <c r="G71" s="442"/>
      <c r="H71" s="442"/>
      <c r="I71" s="442"/>
      <c r="J71" s="442"/>
      <c r="K71" s="442"/>
      <c r="L71" s="442"/>
      <c r="M71" s="318"/>
    </row>
    <row r="72" customFormat="false" ht="9" hidden="false" customHeight="true" outlineLevel="0" collapsed="false">
      <c r="A72" s="443"/>
      <c r="B72" s="444"/>
      <c r="C72" s="101"/>
      <c r="D72" s="101"/>
      <c r="E72" s="101"/>
      <c r="F72" s="101"/>
      <c r="G72" s="101"/>
      <c r="H72" s="101"/>
      <c r="I72" s="101"/>
      <c r="J72" s="101"/>
      <c r="K72" s="101"/>
      <c r="L72" s="445"/>
    </row>
    <row r="73" customFormat="false" ht="12.75" hidden="false" customHeight="true" outlineLevel="0" collapsed="false">
      <c r="A73" s="443"/>
      <c r="B73" s="446" t="s">
        <v>299</v>
      </c>
      <c r="C73" s="101"/>
      <c r="D73" s="101"/>
      <c r="E73" s="101"/>
      <c r="F73" s="101"/>
      <c r="G73" s="101"/>
      <c r="H73" s="101"/>
      <c r="I73" s="101"/>
      <c r="J73" s="101"/>
      <c r="K73" s="447"/>
      <c r="L73" s="448"/>
    </row>
    <row r="74" customFormat="false" ht="9" hidden="false" customHeight="true" outlineLevel="0" collapsed="false">
      <c r="A74" s="443"/>
      <c r="B74" s="444"/>
      <c r="C74" s="101"/>
      <c r="D74" s="101"/>
      <c r="E74" s="101"/>
      <c r="F74" s="101"/>
      <c r="G74" s="101"/>
      <c r="H74" s="101"/>
      <c r="I74" s="101"/>
      <c r="J74" s="101"/>
      <c r="K74" s="449"/>
      <c r="L74" s="448"/>
    </row>
    <row r="75" customFormat="false" ht="12.75" hidden="false" customHeight="true" outlineLevel="0" collapsed="false">
      <c r="A75" s="443"/>
      <c r="B75" s="446" t="s">
        <v>300</v>
      </c>
      <c r="C75" s="101"/>
      <c r="D75" s="101"/>
      <c r="E75" s="101"/>
      <c r="F75" s="101"/>
      <c r="G75" s="101"/>
      <c r="H75" s="101"/>
      <c r="I75" s="101"/>
      <c r="J75" s="101"/>
      <c r="K75" s="447"/>
      <c r="L75" s="448"/>
    </row>
    <row r="76" customFormat="false" ht="6.75" hidden="false" customHeight="true" outlineLevel="0" collapsed="false">
      <c r="A76" s="443"/>
      <c r="B76" s="444"/>
      <c r="C76" s="101"/>
      <c r="D76" s="101"/>
      <c r="E76" s="101"/>
      <c r="F76" s="101"/>
      <c r="G76" s="101"/>
      <c r="H76" s="101"/>
      <c r="I76" s="101"/>
      <c r="J76" s="101"/>
      <c r="K76" s="101"/>
      <c r="L76" s="450"/>
    </row>
    <row r="77" customFormat="false" ht="12.75" hidden="false" customHeight="true" outlineLevel="0" collapsed="false">
      <c r="A77" s="443" t="s">
        <v>301</v>
      </c>
      <c r="B77" s="101" t="s">
        <v>302</v>
      </c>
      <c r="C77" s="101"/>
      <c r="D77" s="101"/>
      <c r="E77" s="101"/>
      <c r="F77" s="101"/>
      <c r="G77" s="101"/>
      <c r="H77" s="101"/>
      <c r="I77" s="101"/>
      <c r="J77" s="444" t="s">
        <v>205</v>
      </c>
      <c r="K77" s="447"/>
      <c r="L77" s="448"/>
      <c r="M77" s="318"/>
    </row>
    <row r="78" customFormat="false" ht="9" hidden="false" customHeight="true" outlineLevel="0" collapsed="false">
      <c r="A78" s="443"/>
      <c r="B78" s="101"/>
      <c r="C78" s="101"/>
      <c r="D78" s="101"/>
      <c r="E78" s="101"/>
      <c r="F78" s="101"/>
      <c r="G78" s="101"/>
      <c r="H78" s="101"/>
      <c r="I78" s="101"/>
      <c r="J78" s="444"/>
      <c r="K78" s="101"/>
      <c r="L78" s="450"/>
      <c r="M78" s="318"/>
    </row>
    <row r="79" customFormat="false" ht="12.75" hidden="false" customHeight="true" outlineLevel="0" collapsed="false">
      <c r="A79" s="443"/>
      <c r="B79" s="451" t="s">
        <v>303</v>
      </c>
      <c r="C79" s="451"/>
      <c r="D79" s="451"/>
      <c r="E79" s="101"/>
      <c r="F79" s="101"/>
      <c r="G79" s="101"/>
      <c r="H79" s="101"/>
      <c r="I79" s="101"/>
      <c r="J79" s="444"/>
      <c r="K79" s="101"/>
      <c r="L79" s="452"/>
      <c r="M79" s="318"/>
    </row>
    <row r="80" customFormat="false" ht="12.75" hidden="false" customHeight="true" outlineLevel="0" collapsed="false">
      <c r="A80" s="453" t="s">
        <v>304</v>
      </c>
      <c r="B80" s="451"/>
      <c r="C80" s="451"/>
      <c r="D80" s="451"/>
      <c r="E80" s="101" t="s">
        <v>205</v>
      </c>
      <c r="F80" s="454"/>
      <c r="G80" s="444" t="s">
        <v>305</v>
      </c>
      <c r="H80" s="101" t="n">
        <v>0.6</v>
      </c>
      <c r="I80" s="101" t="s">
        <v>306</v>
      </c>
      <c r="J80" s="444" t="s">
        <v>205</v>
      </c>
      <c r="K80" s="455" t="n">
        <f aca="false">IF(F80&gt;0,F80*H80,0)</f>
        <v>0</v>
      </c>
      <c r="L80" s="456"/>
      <c r="M80" s="318"/>
    </row>
    <row r="81" customFormat="false" ht="6" hidden="false" customHeight="true" outlineLevel="0" collapsed="false">
      <c r="A81" s="443"/>
      <c r="B81" s="101"/>
      <c r="C81" s="101"/>
      <c r="D81" s="101"/>
      <c r="E81" s="101"/>
      <c r="F81" s="101"/>
      <c r="G81" s="101"/>
      <c r="H81" s="101"/>
      <c r="I81" s="101"/>
      <c r="J81" s="444"/>
      <c r="K81" s="101"/>
      <c r="L81" s="450"/>
      <c r="M81" s="318"/>
    </row>
    <row r="82" customFormat="false" ht="13.2" hidden="false" customHeight="true" outlineLevel="0" collapsed="false">
      <c r="A82" s="443"/>
      <c r="B82" s="101"/>
      <c r="C82" s="101"/>
      <c r="D82" s="101"/>
      <c r="E82" s="101"/>
      <c r="F82" s="101"/>
      <c r="G82" s="101"/>
      <c r="H82" s="101"/>
      <c r="I82" s="101"/>
      <c r="J82" s="444"/>
      <c r="K82" s="101"/>
      <c r="L82" s="450"/>
      <c r="M82" s="318"/>
    </row>
    <row r="83" customFormat="false" ht="12.75" hidden="false" customHeight="true" outlineLevel="0" collapsed="false">
      <c r="A83" s="443"/>
      <c r="B83" s="157"/>
      <c r="C83" s="101"/>
      <c r="D83" s="101"/>
      <c r="E83" s="101"/>
      <c r="F83" s="101"/>
      <c r="G83" s="101"/>
      <c r="H83" s="101"/>
      <c r="I83" s="101"/>
      <c r="J83" s="444"/>
      <c r="K83" s="457"/>
      <c r="L83" s="448"/>
      <c r="M83" s="318"/>
    </row>
    <row r="84" customFormat="false" ht="8.25" hidden="false" customHeight="true" outlineLevel="0" collapsed="false">
      <c r="A84" s="443"/>
      <c r="B84" s="157"/>
      <c r="C84" s="101"/>
      <c r="D84" s="101"/>
      <c r="E84" s="101"/>
      <c r="F84" s="101"/>
      <c r="G84" s="101"/>
      <c r="H84" s="101"/>
      <c r="I84" s="101"/>
      <c r="J84" s="444"/>
      <c r="K84" s="101"/>
      <c r="L84" s="450"/>
      <c r="M84" s="318"/>
    </row>
    <row r="85" customFormat="false" ht="12.75" hidden="false" customHeight="true" outlineLevel="0" collapsed="false">
      <c r="A85" s="443" t="s">
        <v>307</v>
      </c>
      <c r="B85" s="101" t="s">
        <v>308</v>
      </c>
      <c r="C85" s="101"/>
      <c r="D85" s="101"/>
      <c r="E85" s="101"/>
      <c r="F85" s="101"/>
      <c r="G85" s="101"/>
      <c r="H85" s="101"/>
      <c r="I85" s="101"/>
      <c r="J85" s="444" t="s">
        <v>205</v>
      </c>
      <c r="K85" s="458" t="n">
        <f aca="false">K77+K80+K83</f>
        <v>0</v>
      </c>
      <c r="L85" s="459"/>
      <c r="M85" s="318"/>
    </row>
    <row r="86" customFormat="false" ht="8.25" hidden="false" customHeight="true" outlineLevel="0" collapsed="false">
      <c r="A86" s="443"/>
      <c r="B86" s="101"/>
      <c r="C86" s="101"/>
      <c r="D86" s="101"/>
      <c r="E86" s="101"/>
      <c r="F86" s="101"/>
      <c r="G86" s="101"/>
      <c r="H86" s="101"/>
      <c r="I86" s="101"/>
      <c r="J86" s="444"/>
      <c r="K86" s="101"/>
      <c r="L86" s="450"/>
      <c r="M86" s="318"/>
    </row>
    <row r="87" customFormat="false" ht="13.2" hidden="false" customHeight="true" outlineLevel="0" collapsed="false">
      <c r="A87" s="443" t="s">
        <v>309</v>
      </c>
      <c r="B87" s="101" t="s">
        <v>310</v>
      </c>
      <c r="C87" s="101"/>
      <c r="D87" s="101"/>
      <c r="E87" s="101"/>
      <c r="F87" s="101"/>
      <c r="G87" s="101"/>
      <c r="H87" s="101"/>
      <c r="I87" s="101"/>
      <c r="J87" s="444"/>
      <c r="K87" s="101"/>
      <c r="L87" s="450"/>
      <c r="M87" s="318"/>
    </row>
    <row r="88" customFormat="false" ht="12.75" hidden="false" customHeight="true" outlineLevel="0" collapsed="false">
      <c r="A88" s="443"/>
      <c r="B88" s="157" t="s">
        <v>311</v>
      </c>
      <c r="C88" s="101"/>
      <c r="D88" s="101"/>
      <c r="E88" s="101"/>
      <c r="F88" s="101"/>
      <c r="G88" s="101"/>
      <c r="H88" s="101"/>
      <c r="I88" s="101"/>
      <c r="J88" s="444" t="s">
        <v>206</v>
      </c>
      <c r="K88" s="455" t="n">
        <f aca="false">('costo-mq'!$O$82)/2</f>
        <v>156.36555</v>
      </c>
      <c r="L88" s="456"/>
    </row>
    <row r="89" customFormat="false" ht="6" hidden="false" customHeight="true" outlineLevel="0" collapsed="false">
      <c r="A89" s="443"/>
      <c r="B89" s="101"/>
      <c r="C89" s="101"/>
      <c r="D89" s="101"/>
      <c r="E89" s="101"/>
      <c r="F89" s="101"/>
      <c r="G89" s="101"/>
      <c r="H89" s="101"/>
      <c r="I89" s="101"/>
      <c r="J89" s="444"/>
      <c r="K89" s="154"/>
      <c r="L89" s="460"/>
      <c r="M89" s="318"/>
    </row>
    <row r="90" customFormat="false" ht="18" hidden="false" customHeight="true" outlineLevel="0" collapsed="false">
      <c r="A90" s="443"/>
      <c r="B90" s="101"/>
      <c r="C90" s="101"/>
      <c r="D90" s="101"/>
      <c r="E90" s="101"/>
      <c r="F90" s="101"/>
      <c r="G90" s="101"/>
      <c r="H90" s="461"/>
      <c r="I90" s="101"/>
      <c r="J90" s="444"/>
      <c r="K90" s="154"/>
      <c r="L90" s="460"/>
      <c r="M90" s="462"/>
    </row>
    <row r="91" customFormat="false" ht="6" hidden="false" customHeight="true" outlineLevel="0" collapsed="false">
      <c r="A91" s="443"/>
      <c r="B91" s="101"/>
      <c r="C91" s="101"/>
      <c r="D91" s="101"/>
      <c r="E91" s="101"/>
      <c r="F91" s="101"/>
      <c r="G91" s="101"/>
      <c r="H91" s="101"/>
      <c r="I91" s="101"/>
      <c r="J91" s="444"/>
      <c r="K91" s="154"/>
      <c r="L91" s="463"/>
      <c r="M91" s="318"/>
    </row>
    <row r="92" customFormat="false" ht="12.75" hidden="false" customHeight="true" outlineLevel="0" collapsed="false">
      <c r="A92" s="443" t="s">
        <v>312</v>
      </c>
      <c r="B92" s="464" t="s">
        <v>313</v>
      </c>
      <c r="C92" s="465"/>
      <c r="D92" s="465"/>
      <c r="E92" s="465"/>
      <c r="F92" s="465"/>
      <c r="G92" s="465"/>
      <c r="H92" s="465"/>
      <c r="I92" s="465"/>
      <c r="J92" s="466" t="s">
        <v>169</v>
      </c>
      <c r="K92" s="458" t="n">
        <f aca="false">K85*K88</f>
        <v>0</v>
      </c>
      <c r="L92" s="459"/>
      <c r="M92" s="318"/>
    </row>
    <row r="93" customFormat="false" ht="13.2" hidden="false" customHeight="true" outlineLevel="0" collapsed="false">
      <c r="A93" s="167"/>
      <c r="B93" s="142"/>
      <c r="C93" s="142"/>
      <c r="D93" s="142"/>
      <c r="E93" s="142"/>
      <c r="F93" s="142"/>
      <c r="G93" s="142"/>
      <c r="H93" s="142"/>
      <c r="I93" s="142"/>
      <c r="J93" s="142"/>
      <c r="K93" s="142"/>
      <c r="L93" s="379"/>
      <c r="M93" s="318"/>
    </row>
    <row r="94" customFormat="false" ht="5.1" hidden="false" customHeight="true" outlineLevel="0" collapsed="false">
      <c r="A94" s="167"/>
      <c r="B94" s="142"/>
      <c r="C94" s="142"/>
      <c r="D94" s="142"/>
      <c r="E94" s="142"/>
      <c r="F94" s="142"/>
      <c r="G94" s="142"/>
      <c r="H94" s="142"/>
      <c r="I94" s="142"/>
      <c r="J94" s="142"/>
      <c r="K94" s="142"/>
      <c r="L94" s="379"/>
      <c r="M94" s="318"/>
    </row>
    <row r="95" customFormat="false" ht="13.2" hidden="false" customHeight="true" outlineLevel="0" collapsed="false">
      <c r="A95" s="467" t="s">
        <v>314</v>
      </c>
      <c r="B95" s="467"/>
      <c r="C95" s="467"/>
      <c r="D95" s="467"/>
      <c r="E95" s="467"/>
      <c r="F95" s="467"/>
      <c r="G95" s="467"/>
      <c r="H95" s="467"/>
      <c r="I95" s="467"/>
      <c r="J95" s="467"/>
      <c r="K95" s="467"/>
      <c r="L95" s="467"/>
      <c r="M95" s="318"/>
    </row>
    <row r="96" customFormat="false" ht="5.1" hidden="false" customHeight="true" outlineLevel="0" collapsed="false">
      <c r="A96" s="167"/>
      <c r="B96" s="142"/>
      <c r="C96" s="142"/>
      <c r="D96" s="142"/>
      <c r="E96" s="142"/>
      <c r="F96" s="142"/>
      <c r="G96" s="142"/>
      <c r="H96" s="142"/>
      <c r="I96" s="142"/>
      <c r="J96" s="142"/>
      <c r="K96" s="142"/>
      <c r="L96" s="379"/>
      <c r="M96" s="318"/>
    </row>
    <row r="97" customFormat="false" ht="16.5" hidden="false" customHeight="true" outlineLevel="0" collapsed="false">
      <c r="A97" s="167"/>
      <c r="B97" s="352" t="s">
        <v>225</v>
      </c>
      <c r="C97" s="142"/>
      <c r="D97" s="383" t="s">
        <v>315</v>
      </c>
      <c r="E97" s="383"/>
      <c r="F97" s="388" t="s">
        <v>316</v>
      </c>
      <c r="G97" s="142"/>
      <c r="H97" s="142"/>
      <c r="I97" s="383" t="s">
        <v>317</v>
      </c>
      <c r="J97" s="383"/>
      <c r="K97" s="383"/>
      <c r="L97" s="379"/>
      <c r="M97" s="318"/>
    </row>
    <row r="98" customFormat="false" ht="11.25" hidden="false" customHeight="true" outlineLevel="0" collapsed="false">
      <c r="A98" s="167"/>
      <c r="B98" s="142"/>
      <c r="C98" s="142"/>
      <c r="D98" s="383"/>
      <c r="E98" s="383"/>
      <c r="F98" s="355"/>
      <c r="G98" s="142"/>
      <c r="H98" s="142"/>
      <c r="I98" s="383"/>
      <c r="J98" s="383"/>
      <c r="K98" s="383"/>
      <c r="L98" s="379"/>
      <c r="M98" s="318"/>
      <c r="N98" s="468" t="n">
        <f aca="false">SUM(E102:E112)</f>
        <v>0.07</v>
      </c>
      <c r="P98" s="468" t="n">
        <f aca="false">SUM(J100:J112)</f>
        <v>0.07</v>
      </c>
    </row>
    <row r="99" customFormat="false" ht="6" hidden="false" customHeight="true" outlineLevel="0" collapsed="false">
      <c r="A99" s="167"/>
      <c r="B99" s="142"/>
      <c r="C99" s="142"/>
      <c r="D99" s="383"/>
      <c r="E99" s="383"/>
      <c r="F99" s="355"/>
      <c r="G99" s="142"/>
      <c r="H99" s="142"/>
      <c r="I99" s="383"/>
      <c r="J99" s="383"/>
      <c r="K99" s="383"/>
      <c r="L99" s="379"/>
      <c r="M99" s="318"/>
    </row>
    <row r="100" customFormat="false" ht="13.5" hidden="false" customHeight="true" outlineLevel="0" collapsed="false">
      <c r="A100" s="167"/>
      <c r="B100" s="142"/>
      <c r="C100" s="142"/>
      <c r="D100" s="383"/>
      <c r="E100" s="383"/>
      <c r="F100" s="205" t="s">
        <v>318</v>
      </c>
      <c r="G100" s="403" t="str">
        <f aca="false">IF(K75&gt;60,"X","-")</f>
        <v>-</v>
      </c>
      <c r="H100" s="142"/>
      <c r="I100" s="142"/>
      <c r="J100" s="469"/>
      <c r="K100" s="383"/>
      <c r="L100" s="379"/>
      <c r="M100" s="318"/>
    </row>
    <row r="101" customFormat="false" ht="6" hidden="false" customHeight="true" outlineLevel="0" collapsed="false">
      <c r="A101" s="167"/>
      <c r="B101" s="142"/>
      <c r="C101" s="142"/>
      <c r="D101" s="142"/>
      <c r="E101" s="142"/>
      <c r="K101" s="142"/>
      <c r="L101" s="379"/>
      <c r="M101" s="318"/>
    </row>
    <row r="102" customFormat="false" ht="13.2" hidden="false" customHeight="true" outlineLevel="0" collapsed="false">
      <c r="A102" s="167"/>
      <c r="B102" s="295" t="s">
        <v>319</v>
      </c>
      <c r="C102" s="403" t="str">
        <f aca="false">IF(K73&gt;160,"X","-")</f>
        <v>-</v>
      </c>
      <c r="D102" s="142"/>
      <c r="E102" s="470" t="str">
        <f aca="false">IF($C$49="X"," ",IF(C102="X",N102,IF(C102="-"," ",0)))</f>
        <v> </v>
      </c>
      <c r="F102" s="205" t="s">
        <v>320</v>
      </c>
      <c r="G102" s="403" t="str">
        <f aca="false">IF(K75&gt;60,"-",IF(K75&gt;55,"X","-"))</f>
        <v>-</v>
      </c>
      <c r="H102" s="142"/>
      <c r="I102" s="142"/>
      <c r="J102" s="469" t="str">
        <f aca="false">O102</f>
        <v> </v>
      </c>
      <c r="L102" s="379"/>
      <c r="M102" s="471" t="n">
        <f aca="false">IF(E102=" ",0,IF(G102="x","9%",IF(G100="x","10%",0)))</f>
        <v>0</v>
      </c>
      <c r="N102" s="472" t="n">
        <v>0.09</v>
      </c>
      <c r="O102" s="473" t="str">
        <f aca="false">IF(E102&lt;&gt;" ",IF(K75&gt;60,P102,N102)," ")</f>
        <v> </v>
      </c>
      <c r="P102" s="472" t="n">
        <v>0.1</v>
      </c>
    </row>
    <row r="103" customFormat="false" ht="6" hidden="false" customHeight="true" outlineLevel="0" collapsed="false">
      <c r="A103" s="167"/>
      <c r="B103" s="295"/>
      <c r="C103" s="142"/>
      <c r="D103" s="142"/>
      <c r="E103" s="105"/>
      <c r="F103" s="205"/>
      <c r="G103" s="142"/>
      <c r="H103" s="142"/>
      <c r="I103" s="142"/>
      <c r="J103" s="156"/>
      <c r="L103" s="379"/>
      <c r="M103" s="474"/>
    </row>
    <row r="104" customFormat="false" ht="12.75" hidden="false" customHeight="true" outlineLevel="0" collapsed="false">
      <c r="A104" s="167"/>
      <c r="B104" s="295" t="s">
        <v>321</v>
      </c>
      <c r="C104" s="403" t="str">
        <f aca="false">IF(K73&gt;160,"-",IF(K73&lt;130,"-",IF(K73&lt;160,"X",0)))</f>
        <v>-</v>
      </c>
      <c r="D104" s="142"/>
      <c r="E104" s="470" t="str">
        <f aca="false">IF($C$49="X"," ",IF(C104="X",N104,IF(C104="-"," ",0)))</f>
        <v> </v>
      </c>
      <c r="F104" s="205" t="s">
        <v>322</v>
      </c>
      <c r="G104" s="403" t="str">
        <f aca="false">IF(K75&gt;55,"-",IF(K75&gt;50,"X","-"))</f>
        <v>-</v>
      </c>
      <c r="H104" s="142"/>
      <c r="I104" s="142"/>
      <c r="J104" s="469" t="str">
        <f aca="false">O104</f>
        <v> </v>
      </c>
      <c r="K104" s="475"/>
      <c r="L104" s="379"/>
      <c r="M104" s="471" t="n">
        <f aca="false">IF(E104=" ",0,IF(G102="x","9%",IF(E102="-","8%",0)))</f>
        <v>0</v>
      </c>
      <c r="N104" s="472" t="n">
        <v>0.08</v>
      </c>
      <c r="O104" s="425" t="str">
        <f aca="false">IF(E104&lt;&gt;" ",IF(K75&gt;55,P104,N104)," ")</f>
        <v> </v>
      </c>
      <c r="P104" s="472" t="n">
        <v>0.09</v>
      </c>
    </row>
    <row r="105" customFormat="false" ht="5.1" hidden="false" customHeight="true" outlineLevel="0" collapsed="false">
      <c r="A105" s="167"/>
      <c r="B105" s="295"/>
      <c r="C105" s="142"/>
      <c r="D105" s="142"/>
      <c r="E105" s="105"/>
      <c r="F105" s="205"/>
      <c r="G105" s="142"/>
      <c r="H105" s="142"/>
      <c r="I105" s="142"/>
      <c r="J105" s="156"/>
      <c r="K105" s="142"/>
      <c r="L105" s="379"/>
      <c r="M105" s="471"/>
    </row>
    <row r="106" customFormat="false" ht="13.2" hidden="false" customHeight="true" outlineLevel="0" collapsed="false">
      <c r="A106" s="167"/>
      <c r="B106" s="295" t="s">
        <v>323</v>
      </c>
      <c r="C106" s="403" t="str">
        <f aca="false">IF(K73&gt;130,"-",IF(K73&lt;110,"-",IF(K73&lt;130,"X",0)))</f>
        <v>-</v>
      </c>
      <c r="D106" s="142"/>
      <c r="E106" s="470" t="str">
        <f aca="false">IF($C$49="X"," ",IF(C106="X",N106,IF(C106="-"," ",0)))</f>
        <v> </v>
      </c>
      <c r="F106" s="205" t="s">
        <v>324</v>
      </c>
      <c r="G106" s="403" t="str">
        <f aca="false">IF(K75&gt;50,"-",IF(K75&gt;45,"X","-"))</f>
        <v>-</v>
      </c>
      <c r="H106" s="142"/>
      <c r="I106" s="142"/>
      <c r="J106" s="469" t="str">
        <f aca="false">O106</f>
        <v> </v>
      </c>
      <c r="K106" s="475"/>
      <c r="L106" s="379"/>
      <c r="M106" s="471" t="n">
        <f aca="false">IF(E106=" ",0,IF(G104="x","9%",IF(G102="x","9%",IF(E106="8%","8%",0))))</f>
        <v>0</v>
      </c>
      <c r="N106" s="472" t="n">
        <v>0.08</v>
      </c>
      <c r="O106" s="425" t="str">
        <f aca="false">IF(E106&lt;&gt;" ",IF(K75&gt;50,P106,N106)," ")</f>
        <v> </v>
      </c>
      <c r="P106" s="472" t="n">
        <v>0.09</v>
      </c>
    </row>
    <row r="107" customFormat="false" ht="5.1" hidden="false" customHeight="true" outlineLevel="0" collapsed="false">
      <c r="A107" s="167"/>
      <c r="B107" s="295"/>
      <c r="C107" s="142"/>
      <c r="D107" s="142"/>
      <c r="E107" s="105"/>
      <c r="F107" s="205"/>
      <c r="G107" s="142"/>
      <c r="H107" s="142"/>
      <c r="I107" s="142"/>
      <c r="J107" s="156"/>
      <c r="K107" s="142"/>
      <c r="L107" s="379"/>
      <c r="M107" s="471"/>
    </row>
    <row r="108" customFormat="false" ht="13.2" hidden="false" customHeight="true" outlineLevel="0" collapsed="false">
      <c r="A108" s="167"/>
      <c r="B108" s="295" t="s">
        <v>325</v>
      </c>
      <c r="C108" s="403" t="str">
        <f aca="false">IF(K73&gt;110,"-",IF(K73&lt;95,"-",IF(K73&lt;110,"X",0)))</f>
        <v>-</v>
      </c>
      <c r="D108" s="142"/>
      <c r="E108" s="470" t="str">
        <f aca="false">IF($C$49="X"," ",IF(C108="X",N108,IF(C108="-"," ",0)))</f>
        <v> </v>
      </c>
      <c r="F108" s="205" t="s">
        <v>326</v>
      </c>
      <c r="G108" s="403" t="str">
        <f aca="false">IF(K75&gt;45,"-",IF(K75&gt;40,"X","-"))</f>
        <v>-</v>
      </c>
      <c r="H108" s="142"/>
      <c r="I108" s="142"/>
      <c r="J108" s="469" t="str">
        <f aca="false">O108</f>
        <v> </v>
      </c>
      <c r="K108" s="475"/>
      <c r="L108" s="379"/>
      <c r="M108" s="471" t="n">
        <f aca="false">IF(E108=" ",0,IF(G106="x","8%",IF(G104="x","8%",IF(G102="x","8%",IF(E108="7%","7%",0)))))</f>
        <v>0</v>
      </c>
      <c r="N108" s="472" t="n">
        <v>0.07</v>
      </c>
      <c r="O108" s="425" t="str">
        <f aca="false">IF(E108&lt;&gt;" ",IF(K75&gt;45,P108,N108)," ")</f>
        <v> </v>
      </c>
      <c r="P108" s="472" t="n">
        <v>0.08</v>
      </c>
    </row>
    <row r="109" customFormat="false" ht="5.1" hidden="false" customHeight="true" outlineLevel="0" collapsed="false">
      <c r="A109" s="167"/>
      <c r="B109" s="295"/>
      <c r="C109" s="142"/>
      <c r="D109" s="142"/>
      <c r="E109" s="105"/>
      <c r="F109" s="205"/>
      <c r="G109" s="142"/>
      <c r="H109" s="142"/>
      <c r="I109" s="142"/>
      <c r="J109" s="156"/>
      <c r="K109" s="142"/>
      <c r="L109" s="379"/>
      <c r="M109" s="474"/>
    </row>
    <row r="110" customFormat="false" ht="13.2" hidden="false" customHeight="true" outlineLevel="0" collapsed="false">
      <c r="A110" s="167"/>
      <c r="B110" s="295" t="s">
        <v>327</v>
      </c>
      <c r="C110" s="403" t="str">
        <f aca="false">IF(K73&lt;95,"X","-")</f>
        <v>X</v>
      </c>
      <c r="D110" s="142"/>
      <c r="E110" s="469" t="n">
        <f aca="false">IF($C$49="X"," ",IF(C110="X",N110,IF(C110="-"," ",0)))</f>
        <v>0.07</v>
      </c>
      <c r="F110" s="205" t="s">
        <v>328</v>
      </c>
      <c r="G110" s="403" t="str">
        <f aca="false">IF(K75&lt;=40,"X","-")</f>
        <v>X</v>
      </c>
      <c r="H110" s="142"/>
      <c r="I110" s="142"/>
      <c r="J110" s="469" t="n">
        <f aca="false">O110</f>
        <v>0.07</v>
      </c>
      <c r="K110" s="475"/>
      <c r="L110" s="379"/>
      <c r="M110" s="471" t="n">
        <f aca="false">IF(E110=" ",0,IF(G108="x","8%",IF(G106="x","8%",IF(G104="x","8%",IF(G102="x","8%",IF(E110="7%","7%",0))))))</f>
        <v>0</v>
      </c>
      <c r="N110" s="472" t="n">
        <v>0.07</v>
      </c>
      <c r="O110" s="472" t="n">
        <f aca="false">IF(E110&lt;&gt;" ",IF(K75&gt;40,P110,N110)," ")</f>
        <v>0.07</v>
      </c>
      <c r="P110" s="472" t="n">
        <v>0.08</v>
      </c>
    </row>
    <row r="111" customFormat="false" ht="5.1" hidden="false" customHeight="true" outlineLevel="0" collapsed="false">
      <c r="A111" s="167"/>
      <c r="B111" s="142"/>
      <c r="C111" s="142"/>
      <c r="D111" s="142"/>
      <c r="E111" s="105"/>
      <c r="K111" s="142"/>
      <c r="L111" s="379"/>
      <c r="M111" s="474"/>
    </row>
    <row r="112" customFormat="false" ht="13.2" hidden="false" customHeight="true" outlineLevel="0" collapsed="false">
      <c r="A112" s="167"/>
      <c r="B112" s="295" t="s">
        <v>329</v>
      </c>
      <c r="C112" s="476"/>
      <c r="D112" s="142"/>
      <c r="E112" s="475" t="str">
        <f aca="false">IF(C112="X",N112," ")</f>
        <v> </v>
      </c>
      <c r="J112" s="477" t="str">
        <f aca="false">E112</f>
        <v> </v>
      </c>
      <c r="K112" s="475" t="s">
        <v>330</v>
      </c>
      <c r="L112" s="379"/>
      <c r="M112" s="471" t="n">
        <f aca="false">IF(J112=" ",0,IF(J112="10%",0.1,0))</f>
        <v>0</v>
      </c>
      <c r="N112" s="472" t="n">
        <v>0.1</v>
      </c>
    </row>
    <row r="113" customFormat="false" ht="9" hidden="false" customHeight="true" outlineLevel="0" collapsed="false">
      <c r="A113" s="167"/>
      <c r="B113" s="142"/>
      <c r="C113" s="142"/>
      <c r="D113" s="142"/>
      <c r="E113" s="142"/>
      <c r="F113" s="142"/>
      <c r="G113" s="142"/>
      <c r="H113" s="142"/>
      <c r="I113" s="142"/>
      <c r="J113" s="142"/>
      <c r="K113" s="142"/>
      <c r="L113" s="379"/>
      <c r="M113" s="471" t="n">
        <f aca="false">M102+M104+M106+M108+M110+M112</f>
        <v>0</v>
      </c>
    </row>
    <row r="114" customFormat="false" ht="6" hidden="false" customHeight="true" outlineLevel="0" collapsed="false">
      <c r="A114" s="167"/>
      <c r="B114" s="142"/>
      <c r="C114" s="142"/>
      <c r="D114" s="142"/>
      <c r="E114" s="142"/>
      <c r="F114" s="142"/>
      <c r="G114" s="142"/>
      <c r="H114" s="142"/>
      <c r="I114" s="142"/>
      <c r="J114" s="142"/>
      <c r="K114" s="142"/>
      <c r="L114" s="379"/>
      <c r="M114" s="318"/>
    </row>
    <row r="115" customFormat="false" ht="12.75" hidden="false" customHeight="true" outlineLevel="0" collapsed="false">
      <c r="A115" s="167"/>
      <c r="B115" s="142" t="s">
        <v>331</v>
      </c>
      <c r="C115" s="142"/>
      <c r="D115" s="142"/>
      <c r="E115" s="142"/>
      <c r="F115" s="142"/>
      <c r="G115" s="476"/>
      <c r="H115" s="142"/>
      <c r="I115" s="142"/>
      <c r="J115" s="142"/>
      <c r="K115" s="142"/>
      <c r="L115" s="379"/>
      <c r="M115" s="318"/>
      <c r="N115" s="425" t="n">
        <f aca="false">IF(G115="X",1,0)</f>
        <v>0</v>
      </c>
    </row>
    <row r="116" customFormat="false" ht="6" hidden="false" customHeight="true" outlineLevel="0" collapsed="false">
      <c r="A116" s="167"/>
      <c r="B116" s="142"/>
      <c r="C116" s="142"/>
      <c r="D116" s="142"/>
      <c r="E116" s="142"/>
      <c r="F116" s="142"/>
      <c r="G116" s="295"/>
      <c r="H116" s="142"/>
      <c r="I116" s="142"/>
      <c r="J116" s="142"/>
      <c r="K116" s="142"/>
      <c r="L116" s="379"/>
      <c r="M116" s="318"/>
    </row>
    <row r="117" customFormat="false" ht="13.2" hidden="false" customHeight="true" outlineLevel="0" collapsed="false">
      <c r="A117" s="167"/>
      <c r="B117" s="142" t="s">
        <v>332</v>
      </c>
      <c r="C117" s="142"/>
      <c r="D117" s="142"/>
      <c r="E117" s="142"/>
      <c r="F117" s="142"/>
      <c r="G117" s="476" t="s">
        <v>238</v>
      </c>
      <c r="H117" s="142"/>
      <c r="I117" s="142"/>
      <c r="J117" s="142"/>
      <c r="K117" s="142"/>
      <c r="L117" s="379"/>
      <c r="M117" s="318"/>
      <c r="N117" s="425" t="n">
        <f aca="false">IF(G117="X",1,0)</f>
        <v>0</v>
      </c>
    </row>
    <row r="118" customFormat="false" ht="5.1" hidden="false" customHeight="true" outlineLevel="0" collapsed="false">
      <c r="A118" s="167"/>
      <c r="B118" s="142"/>
      <c r="C118" s="142"/>
      <c r="D118" s="142"/>
      <c r="E118" s="142"/>
      <c r="F118" s="142"/>
      <c r="G118" s="295"/>
      <c r="H118" s="142"/>
      <c r="I118" s="142"/>
      <c r="J118" s="142"/>
      <c r="K118" s="142"/>
      <c r="L118" s="379"/>
      <c r="M118" s="318"/>
    </row>
    <row r="119" customFormat="false" ht="12.75" hidden="false" customHeight="true" outlineLevel="0" collapsed="false">
      <c r="A119" s="167"/>
      <c r="B119" s="142" t="s">
        <v>333</v>
      </c>
      <c r="C119" s="142"/>
      <c r="D119" s="142"/>
      <c r="E119" s="142"/>
      <c r="F119" s="142"/>
      <c r="G119" s="476"/>
      <c r="H119" s="142"/>
      <c r="I119" s="142"/>
      <c r="J119" s="142"/>
      <c r="K119" s="142"/>
      <c r="L119" s="379"/>
      <c r="M119" s="318"/>
      <c r="N119" s="425" t="n">
        <f aca="false">IF(G119="X",1,0)</f>
        <v>0</v>
      </c>
    </row>
    <row r="120" customFormat="false" ht="4.5" hidden="false" customHeight="true" outlineLevel="0" collapsed="false">
      <c r="A120" s="167"/>
      <c r="B120" s="142"/>
      <c r="C120" s="142"/>
      <c r="D120" s="142"/>
      <c r="E120" s="142"/>
      <c r="F120" s="142"/>
      <c r="G120" s="142"/>
      <c r="H120" s="142"/>
      <c r="I120" s="142"/>
      <c r="J120" s="142"/>
      <c r="K120" s="142"/>
      <c r="L120" s="379"/>
      <c r="M120" s="318"/>
    </row>
    <row r="121" customFormat="false" ht="15" hidden="false" customHeight="true" outlineLevel="0" collapsed="false">
      <c r="A121" s="167"/>
      <c r="B121" s="142" t="s">
        <v>334</v>
      </c>
      <c r="C121" s="142"/>
      <c r="D121" s="142"/>
      <c r="E121" s="142"/>
      <c r="F121" s="142"/>
      <c r="G121" s="142"/>
      <c r="H121" s="142"/>
      <c r="I121" s="142"/>
      <c r="J121" s="142"/>
      <c r="K121" s="478" t="n">
        <f aca="false">IF(N121&gt;0,O121-0.01,O121)</f>
        <v>0.07</v>
      </c>
      <c r="L121" s="478"/>
      <c r="M121" s="318"/>
      <c r="N121" s="425" t="n">
        <f aca="false">N115+N117+N119</f>
        <v>0</v>
      </c>
      <c r="O121" s="473" t="n">
        <f aca="false">IF(J112&lt;&gt;" ",J112,P98)</f>
        <v>0.07</v>
      </c>
    </row>
    <row r="122" customFormat="false" ht="4.5" hidden="false" customHeight="true" outlineLevel="0" collapsed="false">
      <c r="A122" s="167"/>
      <c r="B122" s="142"/>
      <c r="C122" s="142"/>
      <c r="D122" s="142"/>
      <c r="E122" s="142"/>
      <c r="F122" s="142"/>
      <c r="G122" s="142"/>
      <c r="H122" s="142"/>
      <c r="I122" s="142"/>
      <c r="J122" s="142"/>
      <c r="K122" s="142"/>
      <c r="L122" s="379"/>
      <c r="M122" s="318"/>
    </row>
    <row r="123" customFormat="false" ht="4.5" hidden="false" customHeight="true" outlineLevel="0" collapsed="false">
      <c r="A123" s="167"/>
      <c r="B123" s="142"/>
      <c r="C123" s="142"/>
      <c r="D123" s="142"/>
      <c r="E123" s="142"/>
      <c r="F123" s="142"/>
      <c r="G123" s="142"/>
      <c r="H123" s="142"/>
      <c r="I123" s="142"/>
      <c r="J123" s="142"/>
      <c r="K123" s="142"/>
      <c r="L123" s="379"/>
      <c r="M123" s="318"/>
    </row>
    <row r="124" customFormat="false" ht="12.75" hidden="false" customHeight="true" outlineLevel="0" collapsed="false">
      <c r="A124" s="467" t="s">
        <v>335</v>
      </c>
      <c r="B124" s="467"/>
      <c r="C124" s="467"/>
      <c r="D124" s="467"/>
      <c r="E124" s="467"/>
      <c r="F124" s="467"/>
      <c r="G124" s="467"/>
      <c r="H124" s="467"/>
      <c r="I124" s="467"/>
      <c r="J124" s="467"/>
      <c r="K124" s="467"/>
      <c r="L124" s="467"/>
      <c r="M124" s="318"/>
    </row>
    <row r="125" customFormat="false" ht="6" hidden="false" customHeight="true" outlineLevel="0" collapsed="false">
      <c r="A125" s="167"/>
      <c r="B125" s="142"/>
      <c r="C125" s="142"/>
      <c r="D125" s="142"/>
      <c r="E125" s="142"/>
      <c r="F125" s="142"/>
      <c r="G125" s="142"/>
      <c r="H125" s="142"/>
      <c r="I125" s="142"/>
      <c r="J125" s="142"/>
      <c r="K125" s="142"/>
      <c r="L125" s="379"/>
      <c r="M125" s="318"/>
    </row>
    <row r="126" customFormat="false" ht="18" hidden="false" customHeight="true" outlineLevel="0" collapsed="false">
      <c r="A126" s="167"/>
      <c r="B126" s="142" t="s">
        <v>336</v>
      </c>
      <c r="C126" s="142"/>
      <c r="D126" s="142"/>
      <c r="E126" s="142"/>
      <c r="F126" s="142"/>
      <c r="G126" s="142"/>
      <c r="H126" s="142" t="s">
        <v>169</v>
      </c>
      <c r="I126" s="479" t="n">
        <f aca="false">K92</f>
        <v>0</v>
      </c>
      <c r="J126" s="479"/>
      <c r="K126" s="479"/>
      <c r="L126" s="479"/>
      <c r="M126" s="318"/>
    </row>
    <row r="127" customFormat="false" ht="5.1" hidden="false" customHeight="true" outlineLevel="0" collapsed="false">
      <c r="A127" s="167"/>
      <c r="B127" s="142"/>
      <c r="C127" s="142"/>
      <c r="D127" s="142"/>
      <c r="E127" s="142"/>
      <c r="F127" s="142"/>
      <c r="G127" s="142"/>
      <c r="H127" s="142"/>
      <c r="I127" s="142"/>
      <c r="J127" s="142"/>
      <c r="K127" s="142"/>
      <c r="L127" s="379"/>
      <c r="M127" s="318"/>
    </row>
    <row r="128" customFormat="false" ht="18" hidden="false" customHeight="true" outlineLevel="0" collapsed="false">
      <c r="A128" s="167"/>
      <c r="B128" s="142" t="s">
        <v>337</v>
      </c>
      <c r="C128" s="142"/>
      <c r="D128" s="142"/>
      <c r="E128" s="142"/>
      <c r="F128" s="142"/>
      <c r="G128" s="142"/>
      <c r="H128" s="142" t="s">
        <v>338</v>
      </c>
      <c r="I128" s="480" t="n">
        <f aca="false">K121</f>
        <v>0.07</v>
      </c>
      <c r="J128" s="480"/>
      <c r="K128" s="480"/>
      <c r="L128" s="480"/>
      <c r="M128" s="318"/>
    </row>
    <row r="129" customFormat="false" ht="5.1" hidden="false" customHeight="true" outlineLevel="0" collapsed="false">
      <c r="A129" s="167"/>
      <c r="B129" s="142"/>
      <c r="C129" s="142"/>
      <c r="D129" s="142"/>
      <c r="E129" s="142"/>
      <c r="F129" s="142"/>
      <c r="G129" s="142"/>
      <c r="H129" s="142"/>
      <c r="I129" s="142"/>
      <c r="J129" s="142"/>
      <c r="K129" s="142"/>
      <c r="L129" s="379"/>
      <c r="M129" s="318"/>
    </row>
    <row r="130" customFormat="false" ht="18" hidden="false" customHeight="true" outlineLevel="0" collapsed="false">
      <c r="A130" s="481"/>
      <c r="B130" s="197" t="s">
        <v>339</v>
      </c>
      <c r="C130" s="197"/>
      <c r="D130" s="197"/>
      <c r="E130" s="197"/>
      <c r="F130" s="197"/>
      <c r="G130" s="197"/>
      <c r="H130" s="197" t="s">
        <v>169</v>
      </c>
      <c r="I130" s="482" t="n">
        <f aca="false">I126*I128</f>
        <v>0</v>
      </c>
      <c r="J130" s="482"/>
      <c r="K130" s="482"/>
      <c r="L130" s="482"/>
      <c r="M130" s="318"/>
    </row>
    <row r="131" s="112" customFormat="true" ht="28.35" hidden="false" customHeight="true" outlineLevel="0" collapsed="false">
      <c r="A131" s="483"/>
      <c r="B131" s="484"/>
      <c r="C131" s="484"/>
      <c r="D131" s="484"/>
      <c r="E131" s="484"/>
      <c r="F131" s="484"/>
      <c r="G131" s="484"/>
      <c r="H131" s="484"/>
      <c r="I131" s="484"/>
      <c r="J131" s="484"/>
      <c r="K131" s="484"/>
      <c r="L131" s="485"/>
      <c r="M131" s="430"/>
      <c r="N131" s="118"/>
      <c r="O131" s="118"/>
      <c r="P131" s="118"/>
      <c r="Q131" s="118"/>
      <c r="R131" s="118"/>
    </row>
    <row r="132" s="112" customFormat="true" ht="18" hidden="false" customHeight="true" outlineLevel="0" collapsed="false">
      <c r="A132" s="432" t="s">
        <v>341</v>
      </c>
      <c r="B132" s="209"/>
      <c r="C132" s="209"/>
      <c r="D132" s="209"/>
      <c r="E132" s="209"/>
      <c r="F132" s="434" t="s">
        <v>162</v>
      </c>
      <c r="G132" s="211"/>
      <c r="H132" s="211"/>
      <c r="I132" s="123"/>
      <c r="J132" s="436"/>
      <c r="K132" s="434" t="s">
        <v>297</v>
      </c>
      <c r="L132" s="437"/>
      <c r="M132" s="430"/>
      <c r="N132" s="118"/>
      <c r="O132" s="118"/>
      <c r="P132" s="118"/>
      <c r="Q132" s="118"/>
      <c r="R132" s="118"/>
    </row>
    <row r="133" s="112" customFormat="true" ht="9.75" hidden="false" customHeight="true" outlineLevel="0" collapsed="false">
      <c r="A133" s="438"/>
      <c r="B133" s="439"/>
      <c r="C133" s="440"/>
      <c r="D133" s="440"/>
      <c r="E133" s="123"/>
      <c r="F133" s="440"/>
      <c r="G133" s="434"/>
      <c r="H133" s="440"/>
      <c r="I133" s="123"/>
      <c r="J133" s="434"/>
      <c r="K133" s="441"/>
      <c r="L133" s="488"/>
      <c r="M133" s="430"/>
      <c r="N133" s="118"/>
      <c r="O133" s="118"/>
      <c r="P133" s="118"/>
      <c r="Q133" s="118"/>
      <c r="R133" s="118"/>
    </row>
    <row r="134" customFormat="false" ht="13.2" hidden="false" customHeight="true" outlineLevel="0" collapsed="false">
      <c r="A134" s="442" t="s">
        <v>298</v>
      </c>
      <c r="B134" s="442"/>
      <c r="C134" s="442"/>
      <c r="D134" s="442"/>
      <c r="E134" s="442"/>
      <c r="F134" s="442"/>
      <c r="G134" s="442"/>
      <c r="H134" s="442"/>
      <c r="I134" s="442"/>
      <c r="J134" s="442"/>
      <c r="K134" s="442"/>
      <c r="L134" s="442"/>
      <c r="M134" s="318"/>
    </row>
    <row r="135" customFormat="false" ht="9" hidden="false" customHeight="true" outlineLevel="0" collapsed="false">
      <c r="A135" s="443"/>
      <c r="B135" s="444"/>
      <c r="C135" s="101"/>
      <c r="D135" s="101"/>
      <c r="E135" s="101"/>
      <c r="F135" s="101"/>
      <c r="G135" s="101"/>
      <c r="H135" s="101"/>
      <c r="I135" s="101"/>
      <c r="J135" s="101"/>
      <c r="K135" s="101"/>
      <c r="L135" s="445"/>
    </row>
    <row r="136" customFormat="false" ht="12.75" hidden="false" customHeight="true" outlineLevel="0" collapsed="false">
      <c r="A136" s="443"/>
      <c r="B136" s="446" t="s">
        <v>299</v>
      </c>
      <c r="C136" s="101"/>
      <c r="D136" s="101"/>
      <c r="E136" s="101"/>
      <c r="F136" s="101"/>
      <c r="G136" s="101"/>
      <c r="H136" s="101"/>
      <c r="I136" s="101"/>
      <c r="J136" s="101"/>
      <c r="K136" s="447"/>
      <c r="L136" s="448"/>
    </row>
    <row r="137" customFormat="false" ht="9" hidden="false" customHeight="true" outlineLevel="0" collapsed="false">
      <c r="A137" s="443"/>
      <c r="B137" s="444"/>
      <c r="C137" s="101"/>
      <c r="D137" s="101"/>
      <c r="E137" s="101"/>
      <c r="F137" s="101"/>
      <c r="G137" s="101"/>
      <c r="H137" s="101"/>
      <c r="I137" s="101"/>
      <c r="J137" s="101"/>
      <c r="K137" s="449"/>
      <c r="L137" s="448"/>
    </row>
    <row r="138" customFormat="false" ht="12.75" hidden="false" customHeight="true" outlineLevel="0" collapsed="false">
      <c r="A138" s="443"/>
      <c r="B138" s="446" t="s">
        <v>300</v>
      </c>
      <c r="C138" s="101"/>
      <c r="D138" s="101"/>
      <c r="E138" s="101"/>
      <c r="F138" s="101"/>
      <c r="G138" s="101"/>
      <c r="H138" s="101"/>
      <c r="I138" s="101"/>
      <c r="J138" s="101"/>
      <c r="K138" s="447"/>
      <c r="L138" s="448"/>
    </row>
    <row r="139" customFormat="false" ht="6.75" hidden="false" customHeight="true" outlineLevel="0" collapsed="false">
      <c r="A139" s="443"/>
      <c r="B139" s="444"/>
      <c r="C139" s="101"/>
      <c r="D139" s="101"/>
      <c r="E139" s="101"/>
      <c r="F139" s="101"/>
      <c r="G139" s="101"/>
      <c r="H139" s="101"/>
      <c r="I139" s="101"/>
      <c r="J139" s="101"/>
      <c r="K139" s="101"/>
      <c r="L139" s="450"/>
    </row>
    <row r="140" customFormat="false" ht="12.75" hidden="false" customHeight="true" outlineLevel="0" collapsed="false">
      <c r="A140" s="443" t="s">
        <v>301</v>
      </c>
      <c r="B140" s="101" t="s">
        <v>302</v>
      </c>
      <c r="C140" s="101"/>
      <c r="D140" s="101"/>
      <c r="E140" s="101"/>
      <c r="F140" s="101"/>
      <c r="G140" s="101"/>
      <c r="H140" s="101"/>
      <c r="I140" s="101"/>
      <c r="J140" s="444" t="s">
        <v>205</v>
      </c>
      <c r="K140" s="447"/>
      <c r="L140" s="448"/>
      <c r="M140" s="318"/>
    </row>
    <row r="141" customFormat="false" ht="9" hidden="false" customHeight="true" outlineLevel="0" collapsed="false">
      <c r="A141" s="443"/>
      <c r="B141" s="101"/>
      <c r="C141" s="101"/>
      <c r="D141" s="101"/>
      <c r="E141" s="101"/>
      <c r="F141" s="101"/>
      <c r="G141" s="101"/>
      <c r="H141" s="101"/>
      <c r="I141" s="101"/>
      <c r="J141" s="444"/>
      <c r="K141" s="101"/>
      <c r="L141" s="450"/>
      <c r="M141" s="318"/>
    </row>
    <row r="142" customFormat="false" ht="12.75" hidden="false" customHeight="true" outlineLevel="0" collapsed="false">
      <c r="A142" s="443"/>
      <c r="B142" s="451" t="s">
        <v>303</v>
      </c>
      <c r="C142" s="451"/>
      <c r="D142" s="451"/>
      <c r="E142" s="101"/>
      <c r="F142" s="101"/>
      <c r="G142" s="101"/>
      <c r="H142" s="101"/>
      <c r="I142" s="101"/>
      <c r="J142" s="444"/>
      <c r="K142" s="101"/>
      <c r="L142" s="452"/>
      <c r="M142" s="318"/>
    </row>
    <row r="143" customFormat="false" ht="12.75" hidden="false" customHeight="true" outlineLevel="0" collapsed="false">
      <c r="A143" s="453" t="s">
        <v>304</v>
      </c>
      <c r="B143" s="451"/>
      <c r="C143" s="451"/>
      <c r="D143" s="451"/>
      <c r="E143" s="101" t="s">
        <v>205</v>
      </c>
      <c r="F143" s="454"/>
      <c r="G143" s="444" t="s">
        <v>305</v>
      </c>
      <c r="H143" s="101" t="n">
        <v>0.6</v>
      </c>
      <c r="I143" s="101" t="s">
        <v>306</v>
      </c>
      <c r="J143" s="444" t="s">
        <v>205</v>
      </c>
      <c r="K143" s="455" t="n">
        <f aca="false">IF(F143&gt;0,F143*H143,0)</f>
        <v>0</v>
      </c>
      <c r="L143" s="456"/>
      <c r="M143" s="318"/>
    </row>
    <row r="144" customFormat="false" ht="6" hidden="false" customHeight="true" outlineLevel="0" collapsed="false">
      <c r="A144" s="443"/>
      <c r="B144" s="101"/>
      <c r="C144" s="101"/>
      <c r="D144" s="101"/>
      <c r="E144" s="101"/>
      <c r="F144" s="101"/>
      <c r="G144" s="101"/>
      <c r="H144" s="101"/>
      <c r="I144" s="101"/>
      <c r="J144" s="444"/>
      <c r="K144" s="101"/>
      <c r="L144" s="450"/>
      <c r="M144" s="318"/>
    </row>
    <row r="145" customFormat="false" ht="13.2" hidden="false" customHeight="true" outlineLevel="0" collapsed="false">
      <c r="A145" s="443"/>
      <c r="B145" s="101"/>
      <c r="C145" s="101"/>
      <c r="D145" s="101"/>
      <c r="E145" s="101"/>
      <c r="F145" s="101"/>
      <c r="G145" s="101"/>
      <c r="H145" s="101"/>
      <c r="I145" s="101"/>
      <c r="J145" s="444"/>
      <c r="K145" s="101"/>
      <c r="L145" s="450"/>
      <c r="M145" s="318"/>
    </row>
    <row r="146" customFormat="false" ht="12.75" hidden="false" customHeight="true" outlineLevel="0" collapsed="false">
      <c r="A146" s="443"/>
      <c r="B146" s="157"/>
      <c r="C146" s="101"/>
      <c r="D146" s="101"/>
      <c r="E146" s="101"/>
      <c r="F146" s="101"/>
      <c r="G146" s="101"/>
      <c r="H146" s="101"/>
      <c r="I146" s="101"/>
      <c r="J146" s="444"/>
      <c r="K146" s="457"/>
      <c r="L146" s="448"/>
      <c r="M146" s="318"/>
    </row>
    <row r="147" customFormat="false" ht="8.25" hidden="false" customHeight="true" outlineLevel="0" collapsed="false">
      <c r="A147" s="443"/>
      <c r="B147" s="157"/>
      <c r="C147" s="101"/>
      <c r="D147" s="101"/>
      <c r="E147" s="101"/>
      <c r="F147" s="101"/>
      <c r="G147" s="101"/>
      <c r="H147" s="101"/>
      <c r="I147" s="101"/>
      <c r="J147" s="444"/>
      <c r="K147" s="101"/>
      <c r="L147" s="450"/>
      <c r="M147" s="318"/>
    </row>
    <row r="148" customFormat="false" ht="12.75" hidden="false" customHeight="true" outlineLevel="0" collapsed="false">
      <c r="A148" s="443" t="s">
        <v>307</v>
      </c>
      <c r="B148" s="101" t="s">
        <v>308</v>
      </c>
      <c r="C148" s="101"/>
      <c r="D148" s="101"/>
      <c r="E148" s="101"/>
      <c r="F148" s="101"/>
      <c r="G148" s="101"/>
      <c r="H148" s="101"/>
      <c r="I148" s="101"/>
      <c r="J148" s="444" t="s">
        <v>205</v>
      </c>
      <c r="K148" s="458" t="n">
        <f aca="false">K140+K143+K146</f>
        <v>0</v>
      </c>
      <c r="L148" s="459"/>
      <c r="M148" s="318"/>
    </row>
    <row r="149" customFormat="false" ht="8.25" hidden="false" customHeight="true" outlineLevel="0" collapsed="false">
      <c r="A149" s="443"/>
      <c r="B149" s="101"/>
      <c r="C149" s="101"/>
      <c r="D149" s="101"/>
      <c r="E149" s="101"/>
      <c r="F149" s="101"/>
      <c r="G149" s="101"/>
      <c r="H149" s="101"/>
      <c r="I149" s="101"/>
      <c r="J149" s="444"/>
      <c r="K149" s="101"/>
      <c r="L149" s="450"/>
      <c r="M149" s="318"/>
    </row>
    <row r="150" customFormat="false" ht="13.2" hidden="false" customHeight="true" outlineLevel="0" collapsed="false">
      <c r="A150" s="443" t="s">
        <v>309</v>
      </c>
      <c r="B150" s="101" t="s">
        <v>310</v>
      </c>
      <c r="C150" s="101"/>
      <c r="D150" s="101"/>
      <c r="E150" s="101"/>
      <c r="F150" s="101"/>
      <c r="G150" s="101"/>
      <c r="H150" s="101"/>
      <c r="I150" s="101"/>
      <c r="J150" s="444"/>
      <c r="K150" s="101"/>
      <c r="L150" s="450"/>
      <c r="M150" s="318"/>
    </row>
    <row r="151" customFormat="false" ht="12.75" hidden="false" customHeight="true" outlineLevel="0" collapsed="false">
      <c r="A151" s="443"/>
      <c r="B151" s="157" t="s">
        <v>311</v>
      </c>
      <c r="C151" s="101"/>
      <c r="D151" s="101"/>
      <c r="E151" s="101"/>
      <c r="F151" s="101"/>
      <c r="G151" s="101"/>
      <c r="H151" s="101"/>
      <c r="I151" s="101"/>
      <c r="J151" s="444" t="s">
        <v>206</v>
      </c>
      <c r="K151" s="455" t="n">
        <f aca="false">('costo-mq'!$O$82)/2</f>
        <v>156.36555</v>
      </c>
      <c r="L151" s="456"/>
    </row>
    <row r="152" customFormat="false" ht="6" hidden="false" customHeight="true" outlineLevel="0" collapsed="false">
      <c r="A152" s="443"/>
      <c r="B152" s="101"/>
      <c r="C152" s="101"/>
      <c r="D152" s="101"/>
      <c r="E152" s="101"/>
      <c r="F152" s="101"/>
      <c r="G152" s="101"/>
      <c r="H152" s="101"/>
      <c r="I152" s="101"/>
      <c r="J152" s="444"/>
      <c r="K152" s="154"/>
      <c r="L152" s="460"/>
      <c r="M152" s="318"/>
    </row>
    <row r="153" customFormat="false" ht="18" hidden="false" customHeight="true" outlineLevel="0" collapsed="false">
      <c r="A153" s="443"/>
      <c r="B153" s="101"/>
      <c r="C153" s="101"/>
      <c r="D153" s="101"/>
      <c r="E153" s="101"/>
      <c r="F153" s="101"/>
      <c r="G153" s="101"/>
      <c r="H153" s="461"/>
      <c r="I153" s="101"/>
      <c r="J153" s="444"/>
      <c r="K153" s="154"/>
      <c r="L153" s="460"/>
      <c r="M153" s="462"/>
    </row>
    <row r="154" customFormat="false" ht="6" hidden="false" customHeight="true" outlineLevel="0" collapsed="false">
      <c r="A154" s="443"/>
      <c r="B154" s="101"/>
      <c r="C154" s="101"/>
      <c r="D154" s="101"/>
      <c r="E154" s="101"/>
      <c r="F154" s="101"/>
      <c r="G154" s="101"/>
      <c r="H154" s="101"/>
      <c r="I154" s="101"/>
      <c r="J154" s="444"/>
      <c r="K154" s="154"/>
      <c r="L154" s="463"/>
      <c r="M154" s="318"/>
    </row>
    <row r="155" customFormat="false" ht="12.75" hidden="false" customHeight="true" outlineLevel="0" collapsed="false">
      <c r="A155" s="443" t="s">
        <v>312</v>
      </c>
      <c r="B155" s="464" t="s">
        <v>313</v>
      </c>
      <c r="C155" s="465"/>
      <c r="D155" s="465"/>
      <c r="E155" s="465"/>
      <c r="F155" s="465"/>
      <c r="G155" s="465"/>
      <c r="H155" s="465"/>
      <c r="I155" s="465"/>
      <c r="J155" s="466" t="s">
        <v>169</v>
      </c>
      <c r="K155" s="458" t="n">
        <f aca="false">K148*K151</f>
        <v>0</v>
      </c>
      <c r="L155" s="459"/>
      <c r="M155" s="318"/>
    </row>
    <row r="156" customFormat="false" ht="13.2" hidden="false" customHeight="true" outlineLevel="0" collapsed="false">
      <c r="A156" s="167"/>
      <c r="B156" s="142"/>
      <c r="C156" s="142"/>
      <c r="D156" s="142"/>
      <c r="E156" s="142"/>
      <c r="F156" s="142"/>
      <c r="G156" s="142"/>
      <c r="H156" s="142"/>
      <c r="I156" s="142"/>
      <c r="J156" s="142"/>
      <c r="K156" s="142"/>
      <c r="L156" s="379"/>
      <c r="M156" s="318"/>
    </row>
    <row r="157" customFormat="false" ht="5.1" hidden="false" customHeight="true" outlineLevel="0" collapsed="false">
      <c r="A157" s="167"/>
      <c r="B157" s="142"/>
      <c r="C157" s="142"/>
      <c r="D157" s="142"/>
      <c r="E157" s="142"/>
      <c r="F157" s="142"/>
      <c r="G157" s="142"/>
      <c r="H157" s="142"/>
      <c r="I157" s="142"/>
      <c r="J157" s="142"/>
      <c r="K157" s="142"/>
      <c r="L157" s="379"/>
      <c r="M157" s="318"/>
    </row>
    <row r="158" customFormat="false" ht="13.2" hidden="false" customHeight="true" outlineLevel="0" collapsed="false">
      <c r="A158" s="467" t="s">
        <v>314</v>
      </c>
      <c r="B158" s="467"/>
      <c r="C158" s="467"/>
      <c r="D158" s="467"/>
      <c r="E158" s="467"/>
      <c r="F158" s="467"/>
      <c r="G158" s="467"/>
      <c r="H158" s="467"/>
      <c r="I158" s="467"/>
      <c r="J158" s="467"/>
      <c r="K158" s="467"/>
      <c r="L158" s="467"/>
      <c r="M158" s="318"/>
    </row>
    <row r="159" customFormat="false" ht="5.1" hidden="false" customHeight="true" outlineLevel="0" collapsed="false">
      <c r="A159" s="167"/>
      <c r="B159" s="142"/>
      <c r="C159" s="142"/>
      <c r="D159" s="142"/>
      <c r="E159" s="142"/>
      <c r="F159" s="142"/>
      <c r="G159" s="142"/>
      <c r="H159" s="142"/>
      <c r="I159" s="142"/>
      <c r="J159" s="142"/>
      <c r="K159" s="142"/>
      <c r="L159" s="379"/>
      <c r="M159" s="318"/>
    </row>
    <row r="160" customFormat="false" ht="16.5" hidden="false" customHeight="true" outlineLevel="0" collapsed="false">
      <c r="A160" s="167"/>
      <c r="B160" s="352" t="s">
        <v>225</v>
      </c>
      <c r="C160" s="142"/>
      <c r="D160" s="383" t="s">
        <v>315</v>
      </c>
      <c r="E160" s="383"/>
      <c r="F160" s="388" t="s">
        <v>316</v>
      </c>
      <c r="G160" s="142"/>
      <c r="H160" s="142"/>
      <c r="I160" s="383" t="s">
        <v>317</v>
      </c>
      <c r="J160" s="383"/>
      <c r="K160" s="383"/>
      <c r="L160" s="379"/>
      <c r="M160" s="318"/>
    </row>
    <row r="161" customFormat="false" ht="11.25" hidden="false" customHeight="true" outlineLevel="0" collapsed="false">
      <c r="A161" s="167"/>
      <c r="B161" s="142"/>
      <c r="C161" s="142"/>
      <c r="D161" s="383"/>
      <c r="E161" s="383"/>
      <c r="F161" s="355"/>
      <c r="G161" s="142"/>
      <c r="H161" s="142"/>
      <c r="I161" s="383"/>
      <c r="J161" s="383"/>
      <c r="K161" s="383"/>
      <c r="L161" s="379"/>
      <c r="M161" s="318"/>
      <c r="N161" s="468" t="n">
        <f aca="false">SUM(E165:E175)</f>
        <v>0.07</v>
      </c>
      <c r="P161" s="468" t="n">
        <f aca="false">SUM(J163:J175)</f>
        <v>0.07</v>
      </c>
    </row>
    <row r="162" customFormat="false" ht="6" hidden="false" customHeight="true" outlineLevel="0" collapsed="false">
      <c r="A162" s="167"/>
      <c r="B162" s="142"/>
      <c r="C162" s="142"/>
      <c r="D162" s="383"/>
      <c r="E162" s="383"/>
      <c r="F162" s="355"/>
      <c r="G162" s="142"/>
      <c r="H162" s="142"/>
      <c r="I162" s="383"/>
      <c r="J162" s="383"/>
      <c r="K162" s="383"/>
      <c r="L162" s="379"/>
      <c r="M162" s="318"/>
    </row>
    <row r="163" customFormat="false" ht="13.5" hidden="false" customHeight="true" outlineLevel="0" collapsed="false">
      <c r="A163" s="167"/>
      <c r="B163" s="142"/>
      <c r="C163" s="142"/>
      <c r="D163" s="383"/>
      <c r="E163" s="383"/>
      <c r="F163" s="205" t="s">
        <v>318</v>
      </c>
      <c r="G163" s="403" t="str">
        <f aca="false">IF(K138&gt;60,"X","-")</f>
        <v>-</v>
      </c>
      <c r="H163" s="142"/>
      <c r="I163" s="142"/>
      <c r="J163" s="469"/>
      <c r="K163" s="383"/>
      <c r="L163" s="379"/>
      <c r="M163" s="318"/>
    </row>
    <row r="164" customFormat="false" ht="6" hidden="false" customHeight="true" outlineLevel="0" collapsed="false">
      <c r="A164" s="167"/>
      <c r="B164" s="142"/>
      <c r="C164" s="142"/>
      <c r="D164" s="142"/>
      <c r="E164" s="142"/>
      <c r="K164" s="142"/>
      <c r="L164" s="379"/>
      <c r="M164" s="318"/>
    </row>
    <row r="165" customFormat="false" ht="13.2" hidden="false" customHeight="true" outlineLevel="0" collapsed="false">
      <c r="A165" s="167"/>
      <c r="B165" s="295" t="s">
        <v>319</v>
      </c>
      <c r="C165" s="403" t="str">
        <f aca="false">IF(K136&gt;160,"X","-")</f>
        <v>-</v>
      </c>
      <c r="D165" s="142"/>
      <c r="E165" s="470" t="str">
        <f aca="false">IF($C$49="X"," ",IF(C165="X",N165,IF(C165="-"," ",0)))</f>
        <v> </v>
      </c>
      <c r="F165" s="205" t="s">
        <v>320</v>
      </c>
      <c r="G165" s="403" t="str">
        <f aca="false">IF(K138&gt;60,"-",IF(K138&gt;55,"X","-"))</f>
        <v>-</v>
      </c>
      <c r="H165" s="142"/>
      <c r="I165" s="142"/>
      <c r="J165" s="469" t="str">
        <f aca="false">O165</f>
        <v> </v>
      </c>
      <c r="L165" s="379"/>
      <c r="M165" s="471" t="n">
        <f aca="false">IF(E165=" ",0,IF(G165="x","9%",IF(G163="x","10%",0)))</f>
        <v>0</v>
      </c>
      <c r="N165" s="472" t="n">
        <v>0.09</v>
      </c>
      <c r="O165" s="473" t="str">
        <f aca="false">IF(E165&lt;&gt;" ",IF(K138&gt;60,P165,N165)," ")</f>
        <v> </v>
      </c>
      <c r="P165" s="472" t="n">
        <v>0.1</v>
      </c>
    </row>
    <row r="166" customFormat="false" ht="6" hidden="false" customHeight="true" outlineLevel="0" collapsed="false">
      <c r="A166" s="167"/>
      <c r="B166" s="295"/>
      <c r="C166" s="142"/>
      <c r="D166" s="142"/>
      <c r="E166" s="105"/>
      <c r="F166" s="205"/>
      <c r="G166" s="142"/>
      <c r="H166" s="142"/>
      <c r="I166" s="142"/>
      <c r="J166" s="156"/>
      <c r="L166" s="379"/>
      <c r="M166" s="474"/>
    </row>
    <row r="167" customFormat="false" ht="12.75" hidden="false" customHeight="true" outlineLevel="0" collapsed="false">
      <c r="A167" s="167"/>
      <c r="B167" s="295" t="s">
        <v>321</v>
      </c>
      <c r="C167" s="403" t="str">
        <f aca="false">IF(K136&gt;160,"-",IF(K136&lt;130,"-",IF(K136&lt;160,"X",0)))</f>
        <v>-</v>
      </c>
      <c r="D167" s="142"/>
      <c r="E167" s="470" t="str">
        <f aca="false">IF($C$49="X"," ",IF(C167="X",N167,IF(C167="-"," ",0)))</f>
        <v> </v>
      </c>
      <c r="F167" s="205" t="s">
        <v>322</v>
      </c>
      <c r="G167" s="403" t="str">
        <f aca="false">IF(K138&gt;55,"-",IF(K138&gt;50,"X","-"))</f>
        <v>-</v>
      </c>
      <c r="H167" s="142"/>
      <c r="I167" s="142"/>
      <c r="J167" s="469" t="str">
        <f aca="false">O167</f>
        <v> </v>
      </c>
      <c r="K167" s="475"/>
      <c r="L167" s="379"/>
      <c r="M167" s="471" t="n">
        <f aca="false">IF(E167=" ",0,IF(G165="x","9%",IF(E165="-","8%",0)))</f>
        <v>0</v>
      </c>
      <c r="N167" s="472" t="n">
        <v>0.08</v>
      </c>
      <c r="O167" s="425" t="str">
        <f aca="false">IF(E167&lt;&gt;" ",IF(K138&gt;55,P167,N167)," ")</f>
        <v> </v>
      </c>
      <c r="P167" s="472" t="n">
        <v>0.09</v>
      </c>
    </row>
    <row r="168" customFormat="false" ht="5.1" hidden="false" customHeight="true" outlineLevel="0" collapsed="false">
      <c r="A168" s="167"/>
      <c r="B168" s="295"/>
      <c r="C168" s="142"/>
      <c r="D168" s="142"/>
      <c r="E168" s="105"/>
      <c r="F168" s="205"/>
      <c r="G168" s="142"/>
      <c r="H168" s="142"/>
      <c r="I168" s="142"/>
      <c r="J168" s="156"/>
      <c r="K168" s="142"/>
      <c r="L168" s="379"/>
      <c r="M168" s="471"/>
    </row>
    <row r="169" customFormat="false" ht="13.2" hidden="false" customHeight="true" outlineLevel="0" collapsed="false">
      <c r="A169" s="167"/>
      <c r="B169" s="295" t="s">
        <v>323</v>
      </c>
      <c r="C169" s="403" t="str">
        <f aca="false">IF(K136&gt;130,"-",IF(K136&lt;110,"-",IF(K136&lt;130,"X",0)))</f>
        <v>-</v>
      </c>
      <c r="D169" s="142"/>
      <c r="E169" s="470" t="str">
        <f aca="false">IF($C$49="X"," ",IF(C169="X",N169,IF(C169="-"," ",0)))</f>
        <v> </v>
      </c>
      <c r="F169" s="205" t="s">
        <v>324</v>
      </c>
      <c r="G169" s="403" t="str">
        <f aca="false">IF(K138&gt;50,"-",IF(K138&gt;45,"X","-"))</f>
        <v>-</v>
      </c>
      <c r="H169" s="142"/>
      <c r="I169" s="142"/>
      <c r="J169" s="469" t="str">
        <f aca="false">O169</f>
        <v> </v>
      </c>
      <c r="K169" s="475"/>
      <c r="L169" s="379"/>
      <c r="M169" s="471" t="n">
        <f aca="false">IF(E169=" ",0,IF(G167="x","9%",IF(G165="x","9%",IF(E169="8%","8%",0))))</f>
        <v>0</v>
      </c>
      <c r="N169" s="472" t="n">
        <v>0.08</v>
      </c>
      <c r="O169" s="425" t="str">
        <f aca="false">IF(E169&lt;&gt;" ",IF(K138&gt;50,P169,N169)," ")</f>
        <v> </v>
      </c>
      <c r="P169" s="472" t="n">
        <v>0.09</v>
      </c>
    </row>
    <row r="170" customFormat="false" ht="5.1" hidden="false" customHeight="true" outlineLevel="0" collapsed="false">
      <c r="A170" s="167"/>
      <c r="B170" s="295"/>
      <c r="C170" s="142"/>
      <c r="D170" s="142"/>
      <c r="E170" s="105"/>
      <c r="F170" s="205"/>
      <c r="G170" s="142"/>
      <c r="H170" s="142"/>
      <c r="I170" s="142"/>
      <c r="J170" s="156"/>
      <c r="K170" s="142"/>
      <c r="L170" s="379"/>
      <c r="M170" s="471"/>
    </row>
    <row r="171" customFormat="false" ht="13.2" hidden="false" customHeight="true" outlineLevel="0" collapsed="false">
      <c r="A171" s="167"/>
      <c r="B171" s="295" t="s">
        <v>325</v>
      </c>
      <c r="C171" s="403" t="str">
        <f aca="false">IF(K136&gt;110,"-",IF(K136&lt;95,"-",IF(K136&lt;110,"X",0)))</f>
        <v>-</v>
      </c>
      <c r="D171" s="142"/>
      <c r="E171" s="470" t="str">
        <f aca="false">IF($C$49="X"," ",IF(C171="X",N171,IF(C171="-"," ",0)))</f>
        <v> </v>
      </c>
      <c r="F171" s="205" t="s">
        <v>326</v>
      </c>
      <c r="G171" s="403" t="str">
        <f aca="false">IF(K138&gt;45,"-",IF(K138&gt;40,"X","-"))</f>
        <v>-</v>
      </c>
      <c r="H171" s="142"/>
      <c r="I171" s="142"/>
      <c r="J171" s="469" t="str">
        <f aca="false">O171</f>
        <v> </v>
      </c>
      <c r="K171" s="475"/>
      <c r="L171" s="379"/>
      <c r="M171" s="471" t="n">
        <f aca="false">IF(E171=" ",0,IF(G169="x","8%",IF(G167="x","8%",IF(G165="x","8%",IF(E171="7%","7%",0)))))</f>
        <v>0</v>
      </c>
      <c r="N171" s="472" t="n">
        <v>0.07</v>
      </c>
      <c r="O171" s="425" t="str">
        <f aca="false">IF(E171&lt;&gt;" ",IF(K138&gt;45,P171,N171)," ")</f>
        <v> </v>
      </c>
      <c r="P171" s="472" t="n">
        <v>0.08</v>
      </c>
    </row>
    <row r="172" customFormat="false" ht="5.1" hidden="false" customHeight="true" outlineLevel="0" collapsed="false">
      <c r="A172" s="167"/>
      <c r="B172" s="295"/>
      <c r="C172" s="142"/>
      <c r="D172" s="142"/>
      <c r="E172" s="105"/>
      <c r="F172" s="205"/>
      <c r="G172" s="142"/>
      <c r="H172" s="142"/>
      <c r="I172" s="142"/>
      <c r="J172" s="156"/>
      <c r="K172" s="142"/>
      <c r="L172" s="379"/>
      <c r="M172" s="474"/>
    </row>
    <row r="173" customFormat="false" ht="13.2" hidden="false" customHeight="true" outlineLevel="0" collapsed="false">
      <c r="A173" s="167"/>
      <c r="B173" s="295" t="s">
        <v>327</v>
      </c>
      <c r="C173" s="403" t="str">
        <f aca="false">IF(K136&lt;95,"X","-")</f>
        <v>X</v>
      </c>
      <c r="D173" s="142"/>
      <c r="E173" s="469" t="n">
        <f aca="false">IF($C$49="X"," ",IF(C173="X",N173,IF(C173="-"," ",0)))</f>
        <v>0.07</v>
      </c>
      <c r="F173" s="205" t="s">
        <v>328</v>
      </c>
      <c r="G173" s="403" t="str">
        <f aca="false">IF(K138&lt;=40,"X","-")</f>
        <v>X</v>
      </c>
      <c r="H173" s="142"/>
      <c r="I173" s="142"/>
      <c r="J173" s="469" t="n">
        <f aca="false">O173</f>
        <v>0.07</v>
      </c>
      <c r="K173" s="475"/>
      <c r="L173" s="379"/>
      <c r="M173" s="471" t="n">
        <f aca="false">IF(E173=" ",0,IF(G171="x","8%",IF(G169="x","8%",IF(G167="x","8%",IF(G165="x","8%",IF(E173="7%","7%",0))))))</f>
        <v>0</v>
      </c>
      <c r="N173" s="472" t="n">
        <v>0.07</v>
      </c>
      <c r="O173" s="472" t="n">
        <f aca="false">IF(E173&lt;&gt;" ",IF(K138&gt;40,P173,N173)," ")</f>
        <v>0.07</v>
      </c>
      <c r="P173" s="472" t="n">
        <v>0.08</v>
      </c>
    </row>
    <row r="174" customFormat="false" ht="5.1" hidden="false" customHeight="true" outlineLevel="0" collapsed="false">
      <c r="A174" s="167"/>
      <c r="B174" s="142"/>
      <c r="C174" s="142"/>
      <c r="D174" s="142"/>
      <c r="E174" s="105"/>
      <c r="K174" s="142"/>
      <c r="L174" s="379"/>
      <c r="M174" s="474"/>
    </row>
    <row r="175" customFormat="false" ht="13.2" hidden="false" customHeight="true" outlineLevel="0" collapsed="false">
      <c r="A175" s="167"/>
      <c r="B175" s="295" t="s">
        <v>329</v>
      </c>
      <c r="C175" s="476"/>
      <c r="D175" s="142"/>
      <c r="E175" s="475" t="str">
        <f aca="false">IF(C175="X",N175," ")</f>
        <v> </v>
      </c>
      <c r="J175" s="477" t="str">
        <f aca="false">E175</f>
        <v> </v>
      </c>
      <c r="K175" s="475" t="s">
        <v>330</v>
      </c>
      <c r="L175" s="379"/>
      <c r="M175" s="471" t="n">
        <f aca="false">IF(J175=" ",0,IF(J175="10%",0.1,0))</f>
        <v>0</v>
      </c>
      <c r="N175" s="472" t="n">
        <v>0.1</v>
      </c>
    </row>
    <row r="176" customFormat="false" ht="9" hidden="false" customHeight="true" outlineLevel="0" collapsed="false">
      <c r="A176" s="167"/>
      <c r="B176" s="142"/>
      <c r="C176" s="142"/>
      <c r="D176" s="142"/>
      <c r="E176" s="142"/>
      <c r="F176" s="142"/>
      <c r="G176" s="142"/>
      <c r="H176" s="142"/>
      <c r="I176" s="142"/>
      <c r="J176" s="142"/>
      <c r="K176" s="142"/>
      <c r="L176" s="379"/>
      <c r="M176" s="471" t="n">
        <f aca="false">M165+M167+M169+M171+M173+M175</f>
        <v>0</v>
      </c>
    </row>
    <row r="177" customFormat="false" ht="6" hidden="false" customHeight="true" outlineLevel="0" collapsed="false">
      <c r="A177" s="167"/>
      <c r="B177" s="142"/>
      <c r="C177" s="142"/>
      <c r="D177" s="142"/>
      <c r="E177" s="142"/>
      <c r="F177" s="142"/>
      <c r="G177" s="142"/>
      <c r="H177" s="142"/>
      <c r="I177" s="142"/>
      <c r="J177" s="142"/>
      <c r="K177" s="142"/>
      <c r="L177" s="379"/>
      <c r="M177" s="318"/>
    </row>
    <row r="178" customFormat="false" ht="12.75" hidden="false" customHeight="true" outlineLevel="0" collapsed="false">
      <c r="A178" s="167"/>
      <c r="B178" s="142" t="s">
        <v>331</v>
      </c>
      <c r="C178" s="142"/>
      <c r="D178" s="142"/>
      <c r="E178" s="142"/>
      <c r="F178" s="142"/>
      <c r="G178" s="476"/>
      <c r="H178" s="142"/>
      <c r="I178" s="142"/>
      <c r="J178" s="142"/>
      <c r="K178" s="142"/>
      <c r="L178" s="379"/>
      <c r="M178" s="318"/>
      <c r="N178" s="425" t="n">
        <f aca="false">IF(G178="X",1,0)</f>
        <v>0</v>
      </c>
    </row>
    <row r="179" customFormat="false" ht="6" hidden="false" customHeight="true" outlineLevel="0" collapsed="false">
      <c r="A179" s="167"/>
      <c r="B179" s="142"/>
      <c r="C179" s="142"/>
      <c r="D179" s="142"/>
      <c r="E179" s="142"/>
      <c r="F179" s="142"/>
      <c r="G179" s="295"/>
      <c r="H179" s="142"/>
      <c r="I179" s="142"/>
      <c r="J179" s="142"/>
      <c r="K179" s="142"/>
      <c r="L179" s="379"/>
      <c r="M179" s="318"/>
    </row>
    <row r="180" customFormat="false" ht="13.2" hidden="false" customHeight="true" outlineLevel="0" collapsed="false">
      <c r="A180" s="167"/>
      <c r="B180" s="142" t="s">
        <v>332</v>
      </c>
      <c r="C180" s="142"/>
      <c r="D180" s="142"/>
      <c r="E180" s="142"/>
      <c r="F180" s="142"/>
      <c r="G180" s="476" t="s">
        <v>238</v>
      </c>
      <c r="H180" s="142"/>
      <c r="I180" s="142"/>
      <c r="J180" s="142"/>
      <c r="K180" s="142"/>
      <c r="L180" s="379"/>
      <c r="M180" s="318"/>
      <c r="N180" s="425" t="n">
        <f aca="false">IF(G180="X",1,0)</f>
        <v>0</v>
      </c>
    </row>
    <row r="181" customFormat="false" ht="5.1" hidden="false" customHeight="true" outlineLevel="0" collapsed="false">
      <c r="A181" s="167"/>
      <c r="B181" s="142"/>
      <c r="C181" s="142"/>
      <c r="D181" s="142"/>
      <c r="E181" s="142"/>
      <c r="F181" s="142"/>
      <c r="G181" s="295"/>
      <c r="H181" s="142"/>
      <c r="I181" s="142"/>
      <c r="J181" s="142"/>
      <c r="K181" s="142"/>
      <c r="L181" s="379"/>
      <c r="M181" s="318"/>
    </row>
    <row r="182" customFormat="false" ht="12.75" hidden="false" customHeight="true" outlineLevel="0" collapsed="false">
      <c r="A182" s="167"/>
      <c r="B182" s="142" t="s">
        <v>333</v>
      </c>
      <c r="C182" s="142"/>
      <c r="D182" s="142"/>
      <c r="E182" s="142"/>
      <c r="F182" s="142"/>
      <c r="G182" s="476"/>
      <c r="H182" s="142"/>
      <c r="I182" s="142"/>
      <c r="J182" s="142"/>
      <c r="K182" s="142"/>
      <c r="L182" s="379"/>
      <c r="M182" s="318"/>
      <c r="N182" s="425" t="n">
        <f aca="false">IF(G182="X",1,0)</f>
        <v>0</v>
      </c>
    </row>
    <row r="183" customFormat="false" ht="4.5" hidden="false" customHeight="true" outlineLevel="0" collapsed="false">
      <c r="A183" s="167"/>
      <c r="B183" s="142"/>
      <c r="C183" s="142"/>
      <c r="D183" s="142"/>
      <c r="E183" s="142"/>
      <c r="F183" s="142"/>
      <c r="G183" s="142"/>
      <c r="H183" s="142"/>
      <c r="I183" s="142"/>
      <c r="J183" s="142"/>
      <c r="K183" s="142"/>
      <c r="L183" s="379"/>
      <c r="M183" s="318"/>
    </row>
    <row r="184" customFormat="false" ht="15" hidden="false" customHeight="true" outlineLevel="0" collapsed="false">
      <c r="A184" s="167"/>
      <c r="B184" s="142" t="s">
        <v>334</v>
      </c>
      <c r="C184" s="142"/>
      <c r="D184" s="142"/>
      <c r="E184" s="142"/>
      <c r="F184" s="142"/>
      <c r="G184" s="142"/>
      <c r="H184" s="142"/>
      <c r="I184" s="142"/>
      <c r="J184" s="142"/>
      <c r="K184" s="478" t="n">
        <f aca="false">IF(N184&gt;0,O184-0.01,O184)</f>
        <v>0.07</v>
      </c>
      <c r="L184" s="478"/>
      <c r="M184" s="318"/>
      <c r="N184" s="425" t="n">
        <f aca="false">N178+N180+N182</f>
        <v>0</v>
      </c>
      <c r="O184" s="473" t="n">
        <f aca="false">IF(J175&lt;&gt;" ",J175,P161)</f>
        <v>0.07</v>
      </c>
    </row>
    <row r="185" customFormat="false" ht="4.5" hidden="false" customHeight="true" outlineLevel="0" collapsed="false">
      <c r="A185" s="167"/>
      <c r="B185" s="142"/>
      <c r="C185" s="142"/>
      <c r="D185" s="142"/>
      <c r="E185" s="142"/>
      <c r="F185" s="142"/>
      <c r="G185" s="142"/>
      <c r="H185" s="142"/>
      <c r="I185" s="142"/>
      <c r="J185" s="142"/>
      <c r="K185" s="142"/>
      <c r="L185" s="379"/>
      <c r="M185" s="318"/>
    </row>
    <row r="186" customFormat="false" ht="4.5" hidden="false" customHeight="true" outlineLevel="0" collapsed="false">
      <c r="A186" s="167"/>
      <c r="B186" s="142"/>
      <c r="C186" s="142"/>
      <c r="D186" s="142"/>
      <c r="E186" s="142"/>
      <c r="F186" s="142"/>
      <c r="G186" s="142"/>
      <c r="H186" s="142"/>
      <c r="I186" s="142"/>
      <c r="J186" s="142"/>
      <c r="K186" s="142"/>
      <c r="L186" s="379"/>
      <c r="M186" s="318"/>
    </row>
    <row r="187" customFormat="false" ht="12.75" hidden="false" customHeight="true" outlineLevel="0" collapsed="false">
      <c r="A187" s="467" t="s">
        <v>335</v>
      </c>
      <c r="B187" s="467"/>
      <c r="C187" s="467"/>
      <c r="D187" s="467"/>
      <c r="E187" s="467"/>
      <c r="F187" s="467"/>
      <c r="G187" s="467"/>
      <c r="H187" s="467"/>
      <c r="I187" s="467"/>
      <c r="J187" s="467"/>
      <c r="K187" s="467"/>
      <c r="L187" s="467"/>
      <c r="M187" s="318"/>
    </row>
    <row r="188" customFormat="false" ht="6" hidden="false" customHeight="true" outlineLevel="0" collapsed="false">
      <c r="A188" s="167"/>
      <c r="B188" s="142"/>
      <c r="C188" s="142"/>
      <c r="D188" s="142"/>
      <c r="E188" s="142"/>
      <c r="F188" s="142"/>
      <c r="G188" s="142"/>
      <c r="H188" s="142"/>
      <c r="I188" s="142"/>
      <c r="J188" s="142"/>
      <c r="K188" s="142"/>
      <c r="L188" s="379"/>
      <c r="M188" s="318"/>
    </row>
    <row r="189" customFormat="false" ht="18" hidden="false" customHeight="true" outlineLevel="0" collapsed="false">
      <c r="A189" s="167"/>
      <c r="B189" s="142" t="s">
        <v>336</v>
      </c>
      <c r="C189" s="142"/>
      <c r="D189" s="142"/>
      <c r="E189" s="142"/>
      <c r="F189" s="142"/>
      <c r="G189" s="142"/>
      <c r="H189" s="142" t="s">
        <v>169</v>
      </c>
      <c r="I189" s="479" t="n">
        <f aca="false">K155</f>
        <v>0</v>
      </c>
      <c r="J189" s="479"/>
      <c r="K189" s="479"/>
      <c r="L189" s="479"/>
      <c r="M189" s="318"/>
    </row>
    <row r="190" customFormat="false" ht="5.1" hidden="false" customHeight="true" outlineLevel="0" collapsed="false">
      <c r="A190" s="167"/>
      <c r="B190" s="142"/>
      <c r="C190" s="142"/>
      <c r="D190" s="142"/>
      <c r="E190" s="142"/>
      <c r="F190" s="142"/>
      <c r="G190" s="142"/>
      <c r="H190" s="142"/>
      <c r="I190" s="142"/>
      <c r="J190" s="142"/>
      <c r="K190" s="142"/>
      <c r="L190" s="379"/>
      <c r="M190" s="318"/>
    </row>
    <row r="191" customFormat="false" ht="18" hidden="false" customHeight="true" outlineLevel="0" collapsed="false">
      <c r="A191" s="167"/>
      <c r="B191" s="142" t="s">
        <v>337</v>
      </c>
      <c r="C191" s="142"/>
      <c r="D191" s="142"/>
      <c r="E191" s="142"/>
      <c r="F191" s="142"/>
      <c r="G191" s="142"/>
      <c r="H191" s="142" t="s">
        <v>338</v>
      </c>
      <c r="I191" s="480" t="n">
        <f aca="false">K184</f>
        <v>0.07</v>
      </c>
      <c r="J191" s="480"/>
      <c r="K191" s="480"/>
      <c r="L191" s="480"/>
      <c r="M191" s="318"/>
    </row>
    <row r="192" customFormat="false" ht="5.1" hidden="false" customHeight="true" outlineLevel="0" collapsed="false">
      <c r="A192" s="167"/>
      <c r="B192" s="142"/>
      <c r="C192" s="142"/>
      <c r="D192" s="142"/>
      <c r="E192" s="142"/>
      <c r="F192" s="142"/>
      <c r="G192" s="142"/>
      <c r="H192" s="142"/>
      <c r="I192" s="142"/>
      <c r="J192" s="142"/>
      <c r="K192" s="142"/>
      <c r="L192" s="379"/>
      <c r="M192" s="318"/>
    </row>
    <row r="193" customFormat="false" ht="18" hidden="false" customHeight="true" outlineLevel="0" collapsed="false">
      <c r="A193" s="481"/>
      <c r="B193" s="197" t="s">
        <v>339</v>
      </c>
      <c r="C193" s="197"/>
      <c r="D193" s="197"/>
      <c r="E193" s="197"/>
      <c r="F193" s="197"/>
      <c r="G193" s="197"/>
      <c r="H193" s="197" t="s">
        <v>169</v>
      </c>
      <c r="I193" s="482" t="n">
        <f aca="false">I189*I191</f>
        <v>0</v>
      </c>
      <c r="J193" s="482"/>
      <c r="K193" s="482"/>
      <c r="L193" s="482"/>
      <c r="M193" s="318"/>
    </row>
    <row r="194" s="112" customFormat="true" ht="28.35" hidden="false" customHeight="true" outlineLevel="0" collapsed="false">
      <c r="A194" s="483"/>
      <c r="B194" s="484"/>
      <c r="C194" s="484"/>
      <c r="D194" s="484"/>
      <c r="E194" s="484"/>
      <c r="F194" s="484"/>
      <c r="G194" s="484"/>
      <c r="H194" s="484"/>
      <c r="I194" s="484"/>
      <c r="J194" s="484"/>
      <c r="K194" s="484"/>
      <c r="L194" s="485"/>
      <c r="M194" s="430"/>
      <c r="N194" s="118"/>
      <c r="O194" s="118"/>
      <c r="P194" s="118"/>
      <c r="Q194" s="118"/>
      <c r="R194" s="118"/>
    </row>
    <row r="195" s="112" customFormat="true" ht="18" hidden="false" customHeight="true" outlineLevel="0" collapsed="false">
      <c r="A195" s="432" t="s">
        <v>341</v>
      </c>
      <c r="B195" s="209"/>
      <c r="C195" s="209"/>
      <c r="D195" s="209"/>
      <c r="E195" s="209"/>
      <c r="F195" s="434" t="s">
        <v>162</v>
      </c>
      <c r="G195" s="211"/>
      <c r="H195" s="211"/>
      <c r="I195" s="123"/>
      <c r="J195" s="436"/>
      <c r="K195" s="434" t="s">
        <v>297</v>
      </c>
      <c r="L195" s="437"/>
      <c r="M195" s="430"/>
      <c r="N195" s="118"/>
      <c r="O195" s="118"/>
      <c r="P195" s="118"/>
      <c r="Q195" s="118"/>
      <c r="R195" s="118"/>
    </row>
    <row r="196" s="112" customFormat="true" ht="9.75" hidden="false" customHeight="true" outlineLevel="0" collapsed="false">
      <c r="A196" s="438"/>
      <c r="B196" s="439"/>
      <c r="C196" s="440"/>
      <c r="D196" s="440"/>
      <c r="E196" s="123"/>
      <c r="F196" s="440"/>
      <c r="G196" s="434"/>
      <c r="H196" s="440"/>
      <c r="I196" s="123"/>
      <c r="J196" s="434"/>
      <c r="K196" s="441"/>
      <c r="L196" s="488"/>
      <c r="M196" s="430"/>
      <c r="N196" s="118"/>
      <c r="O196" s="118"/>
      <c r="P196" s="118"/>
      <c r="Q196" s="118"/>
      <c r="R196" s="118"/>
    </row>
    <row r="197" customFormat="false" ht="13.2" hidden="false" customHeight="true" outlineLevel="0" collapsed="false">
      <c r="A197" s="442" t="s">
        <v>298</v>
      </c>
      <c r="B197" s="442"/>
      <c r="C197" s="442"/>
      <c r="D197" s="442"/>
      <c r="E197" s="442"/>
      <c r="F197" s="442"/>
      <c r="G197" s="442"/>
      <c r="H197" s="442"/>
      <c r="I197" s="442"/>
      <c r="J197" s="442"/>
      <c r="K197" s="442"/>
      <c r="L197" s="442"/>
      <c r="M197" s="318"/>
    </row>
    <row r="198" customFormat="false" ht="9" hidden="false" customHeight="true" outlineLevel="0" collapsed="false">
      <c r="A198" s="443"/>
      <c r="B198" s="444"/>
      <c r="C198" s="101"/>
      <c r="D198" s="101"/>
      <c r="E198" s="101"/>
      <c r="F198" s="101"/>
      <c r="G198" s="101"/>
      <c r="H198" s="101"/>
      <c r="I198" s="101"/>
      <c r="J198" s="101"/>
      <c r="K198" s="101"/>
      <c r="L198" s="445"/>
    </row>
    <row r="199" customFormat="false" ht="12.75" hidden="false" customHeight="true" outlineLevel="0" collapsed="false">
      <c r="A199" s="443"/>
      <c r="B199" s="446" t="s">
        <v>299</v>
      </c>
      <c r="C199" s="101"/>
      <c r="D199" s="101"/>
      <c r="E199" s="101"/>
      <c r="F199" s="101"/>
      <c r="G199" s="101"/>
      <c r="H199" s="101"/>
      <c r="I199" s="101"/>
      <c r="J199" s="101"/>
      <c r="K199" s="447"/>
      <c r="L199" s="448"/>
    </row>
    <row r="200" customFormat="false" ht="9" hidden="false" customHeight="true" outlineLevel="0" collapsed="false">
      <c r="A200" s="443"/>
      <c r="B200" s="444"/>
      <c r="C200" s="101"/>
      <c r="D200" s="101"/>
      <c r="E200" s="101"/>
      <c r="F200" s="101"/>
      <c r="G200" s="101"/>
      <c r="H200" s="101"/>
      <c r="I200" s="101"/>
      <c r="J200" s="101"/>
      <c r="K200" s="449"/>
      <c r="L200" s="448"/>
    </row>
    <row r="201" customFormat="false" ht="12.75" hidden="false" customHeight="true" outlineLevel="0" collapsed="false">
      <c r="A201" s="443"/>
      <c r="B201" s="446" t="s">
        <v>300</v>
      </c>
      <c r="C201" s="101"/>
      <c r="D201" s="101"/>
      <c r="E201" s="101"/>
      <c r="F201" s="101"/>
      <c r="G201" s="101"/>
      <c r="H201" s="101"/>
      <c r="I201" s="101"/>
      <c r="J201" s="101"/>
      <c r="K201" s="447"/>
      <c r="L201" s="448"/>
    </row>
    <row r="202" customFormat="false" ht="6.75" hidden="false" customHeight="true" outlineLevel="0" collapsed="false">
      <c r="A202" s="443"/>
      <c r="B202" s="444"/>
      <c r="C202" s="101"/>
      <c r="D202" s="101"/>
      <c r="E202" s="101"/>
      <c r="F202" s="101"/>
      <c r="G202" s="101"/>
      <c r="H202" s="101"/>
      <c r="I202" s="101"/>
      <c r="J202" s="101"/>
      <c r="K202" s="101"/>
      <c r="L202" s="450"/>
    </row>
    <row r="203" customFormat="false" ht="12.75" hidden="false" customHeight="true" outlineLevel="0" collapsed="false">
      <c r="A203" s="443" t="s">
        <v>301</v>
      </c>
      <c r="B203" s="101" t="s">
        <v>302</v>
      </c>
      <c r="C203" s="101"/>
      <c r="D203" s="101"/>
      <c r="E203" s="101"/>
      <c r="F203" s="101"/>
      <c r="G203" s="101"/>
      <c r="H203" s="101"/>
      <c r="I203" s="101"/>
      <c r="J203" s="444" t="s">
        <v>205</v>
      </c>
      <c r="K203" s="447"/>
      <c r="L203" s="448"/>
      <c r="M203" s="318"/>
    </row>
    <row r="204" customFormat="false" ht="9" hidden="false" customHeight="true" outlineLevel="0" collapsed="false">
      <c r="A204" s="443"/>
      <c r="B204" s="101"/>
      <c r="C204" s="101"/>
      <c r="D204" s="101"/>
      <c r="E204" s="101"/>
      <c r="F204" s="101"/>
      <c r="G204" s="101"/>
      <c r="H204" s="101"/>
      <c r="I204" s="101"/>
      <c r="J204" s="444"/>
      <c r="K204" s="101"/>
      <c r="L204" s="450"/>
      <c r="M204" s="318"/>
    </row>
    <row r="205" customFormat="false" ht="12.75" hidden="false" customHeight="true" outlineLevel="0" collapsed="false">
      <c r="A205" s="443"/>
      <c r="B205" s="451" t="s">
        <v>303</v>
      </c>
      <c r="C205" s="451"/>
      <c r="D205" s="451"/>
      <c r="E205" s="101"/>
      <c r="F205" s="101"/>
      <c r="G205" s="101"/>
      <c r="H205" s="101"/>
      <c r="I205" s="101"/>
      <c r="J205" s="444"/>
      <c r="K205" s="101"/>
      <c r="L205" s="452"/>
      <c r="M205" s="318"/>
    </row>
    <row r="206" customFormat="false" ht="12.75" hidden="false" customHeight="true" outlineLevel="0" collapsed="false">
      <c r="A206" s="453" t="s">
        <v>304</v>
      </c>
      <c r="B206" s="451"/>
      <c r="C206" s="451"/>
      <c r="D206" s="451"/>
      <c r="E206" s="101" t="s">
        <v>205</v>
      </c>
      <c r="F206" s="454"/>
      <c r="G206" s="444" t="s">
        <v>305</v>
      </c>
      <c r="H206" s="101" t="n">
        <v>0.6</v>
      </c>
      <c r="I206" s="101" t="s">
        <v>306</v>
      </c>
      <c r="J206" s="444" t="s">
        <v>205</v>
      </c>
      <c r="K206" s="455" t="n">
        <f aca="false">IF(F206&gt;0,F206*H206,0)</f>
        <v>0</v>
      </c>
      <c r="L206" s="456"/>
      <c r="M206" s="318"/>
    </row>
    <row r="207" customFormat="false" ht="6" hidden="false" customHeight="true" outlineLevel="0" collapsed="false">
      <c r="A207" s="443"/>
      <c r="B207" s="101"/>
      <c r="C207" s="101"/>
      <c r="D207" s="101"/>
      <c r="E207" s="101"/>
      <c r="F207" s="101"/>
      <c r="G207" s="101"/>
      <c r="H207" s="101"/>
      <c r="I207" s="101"/>
      <c r="J207" s="444"/>
      <c r="K207" s="101"/>
      <c r="L207" s="450"/>
      <c r="M207" s="318"/>
    </row>
    <row r="208" customFormat="false" ht="13.2" hidden="false" customHeight="true" outlineLevel="0" collapsed="false">
      <c r="A208" s="443"/>
      <c r="B208" s="101"/>
      <c r="C208" s="101"/>
      <c r="D208" s="101"/>
      <c r="E208" s="101"/>
      <c r="F208" s="101"/>
      <c r="G208" s="101"/>
      <c r="H208" s="101"/>
      <c r="I208" s="101"/>
      <c r="J208" s="444"/>
      <c r="K208" s="101"/>
      <c r="L208" s="450"/>
      <c r="M208" s="318"/>
    </row>
    <row r="209" customFormat="false" ht="12.75" hidden="false" customHeight="true" outlineLevel="0" collapsed="false">
      <c r="A209" s="443"/>
      <c r="B209" s="157"/>
      <c r="C209" s="101"/>
      <c r="D209" s="101"/>
      <c r="E209" s="101"/>
      <c r="F209" s="101"/>
      <c r="G209" s="101"/>
      <c r="H209" s="101"/>
      <c r="I209" s="101"/>
      <c r="J209" s="444"/>
      <c r="K209" s="457"/>
      <c r="L209" s="448"/>
      <c r="M209" s="318"/>
    </row>
    <row r="210" customFormat="false" ht="8.25" hidden="false" customHeight="true" outlineLevel="0" collapsed="false">
      <c r="A210" s="443"/>
      <c r="B210" s="157"/>
      <c r="C210" s="101"/>
      <c r="D210" s="101"/>
      <c r="E210" s="101"/>
      <c r="F210" s="101"/>
      <c r="G210" s="101"/>
      <c r="H210" s="101"/>
      <c r="I210" s="101"/>
      <c r="J210" s="444"/>
      <c r="K210" s="101"/>
      <c r="L210" s="450"/>
      <c r="M210" s="318"/>
    </row>
    <row r="211" customFormat="false" ht="12.75" hidden="false" customHeight="true" outlineLevel="0" collapsed="false">
      <c r="A211" s="443" t="s">
        <v>307</v>
      </c>
      <c r="B211" s="101" t="s">
        <v>308</v>
      </c>
      <c r="C211" s="101"/>
      <c r="D211" s="101"/>
      <c r="E211" s="101"/>
      <c r="F211" s="101"/>
      <c r="G211" s="101"/>
      <c r="H211" s="101"/>
      <c r="I211" s="101"/>
      <c r="J211" s="444" t="s">
        <v>205</v>
      </c>
      <c r="K211" s="458" t="n">
        <f aca="false">K203+K206+K209</f>
        <v>0</v>
      </c>
      <c r="L211" s="459"/>
      <c r="M211" s="318"/>
    </row>
    <row r="212" customFormat="false" ht="8.25" hidden="false" customHeight="true" outlineLevel="0" collapsed="false">
      <c r="A212" s="443"/>
      <c r="B212" s="101"/>
      <c r="C212" s="101"/>
      <c r="D212" s="101"/>
      <c r="E212" s="101"/>
      <c r="F212" s="101"/>
      <c r="G212" s="101"/>
      <c r="H212" s="101"/>
      <c r="I212" s="101"/>
      <c r="J212" s="444"/>
      <c r="K212" s="101"/>
      <c r="L212" s="450"/>
      <c r="M212" s="318"/>
    </row>
    <row r="213" customFormat="false" ht="13.2" hidden="false" customHeight="true" outlineLevel="0" collapsed="false">
      <c r="A213" s="443" t="s">
        <v>309</v>
      </c>
      <c r="B213" s="101" t="s">
        <v>310</v>
      </c>
      <c r="C213" s="101"/>
      <c r="D213" s="101"/>
      <c r="E213" s="101"/>
      <c r="F213" s="101"/>
      <c r="G213" s="101"/>
      <c r="H213" s="101"/>
      <c r="I213" s="101"/>
      <c r="J213" s="444"/>
      <c r="K213" s="101"/>
      <c r="L213" s="450"/>
      <c r="M213" s="318"/>
    </row>
    <row r="214" customFormat="false" ht="12.75" hidden="false" customHeight="true" outlineLevel="0" collapsed="false">
      <c r="A214" s="443"/>
      <c r="B214" s="157" t="s">
        <v>311</v>
      </c>
      <c r="C214" s="101"/>
      <c r="D214" s="101"/>
      <c r="E214" s="101"/>
      <c r="F214" s="101"/>
      <c r="G214" s="101"/>
      <c r="H214" s="101"/>
      <c r="I214" s="101"/>
      <c r="J214" s="444" t="s">
        <v>206</v>
      </c>
      <c r="K214" s="455" t="n">
        <f aca="false">('costo-mq'!$O$82)/2</f>
        <v>156.36555</v>
      </c>
      <c r="L214" s="456"/>
    </row>
    <row r="215" customFormat="false" ht="6" hidden="false" customHeight="true" outlineLevel="0" collapsed="false">
      <c r="A215" s="443"/>
      <c r="B215" s="101"/>
      <c r="C215" s="101"/>
      <c r="D215" s="101"/>
      <c r="E215" s="101"/>
      <c r="F215" s="101"/>
      <c r="G215" s="101"/>
      <c r="H215" s="101"/>
      <c r="I215" s="101"/>
      <c r="J215" s="444"/>
      <c r="K215" s="154"/>
      <c r="L215" s="460"/>
      <c r="M215" s="318"/>
    </row>
    <row r="216" customFormat="false" ht="18" hidden="false" customHeight="true" outlineLevel="0" collapsed="false">
      <c r="A216" s="443"/>
      <c r="B216" s="101"/>
      <c r="C216" s="101"/>
      <c r="D216" s="101"/>
      <c r="E216" s="101"/>
      <c r="F216" s="101"/>
      <c r="G216" s="101"/>
      <c r="H216" s="461"/>
      <c r="I216" s="101"/>
      <c r="J216" s="444"/>
      <c r="K216" s="154"/>
      <c r="L216" s="460"/>
      <c r="M216" s="462"/>
    </row>
    <row r="217" customFormat="false" ht="6" hidden="false" customHeight="true" outlineLevel="0" collapsed="false">
      <c r="A217" s="443"/>
      <c r="B217" s="101"/>
      <c r="C217" s="101"/>
      <c r="D217" s="101"/>
      <c r="E217" s="101"/>
      <c r="F217" s="101"/>
      <c r="G217" s="101"/>
      <c r="H217" s="101"/>
      <c r="I217" s="101"/>
      <c r="J217" s="444"/>
      <c r="K217" s="154"/>
      <c r="L217" s="463"/>
      <c r="M217" s="318"/>
    </row>
    <row r="218" customFormat="false" ht="12.75" hidden="false" customHeight="true" outlineLevel="0" collapsed="false">
      <c r="A218" s="443" t="s">
        <v>312</v>
      </c>
      <c r="B218" s="464" t="s">
        <v>313</v>
      </c>
      <c r="C218" s="465"/>
      <c r="D218" s="465"/>
      <c r="E218" s="465"/>
      <c r="F218" s="465"/>
      <c r="G218" s="465"/>
      <c r="H218" s="465"/>
      <c r="I218" s="465"/>
      <c r="J218" s="466" t="s">
        <v>169</v>
      </c>
      <c r="K218" s="458" t="n">
        <f aca="false">K211*K214</f>
        <v>0</v>
      </c>
      <c r="L218" s="459"/>
      <c r="M218" s="318"/>
    </row>
    <row r="219" customFormat="false" ht="13.2" hidden="false" customHeight="true" outlineLevel="0" collapsed="false">
      <c r="A219" s="167"/>
      <c r="B219" s="142"/>
      <c r="C219" s="142"/>
      <c r="D219" s="142"/>
      <c r="E219" s="142"/>
      <c r="F219" s="142"/>
      <c r="G219" s="142"/>
      <c r="H219" s="142"/>
      <c r="I219" s="142"/>
      <c r="J219" s="142"/>
      <c r="K219" s="142"/>
      <c r="L219" s="379"/>
      <c r="M219" s="318"/>
    </row>
    <row r="220" customFormat="false" ht="5.1" hidden="false" customHeight="true" outlineLevel="0" collapsed="false">
      <c r="A220" s="167"/>
      <c r="B220" s="142"/>
      <c r="C220" s="142"/>
      <c r="D220" s="142"/>
      <c r="E220" s="142"/>
      <c r="F220" s="142"/>
      <c r="G220" s="142"/>
      <c r="H220" s="142"/>
      <c r="I220" s="142"/>
      <c r="J220" s="142"/>
      <c r="K220" s="142"/>
      <c r="L220" s="379"/>
      <c r="M220" s="318"/>
    </row>
    <row r="221" customFormat="false" ht="13.2" hidden="false" customHeight="true" outlineLevel="0" collapsed="false">
      <c r="A221" s="467" t="s">
        <v>314</v>
      </c>
      <c r="B221" s="467"/>
      <c r="C221" s="467"/>
      <c r="D221" s="467"/>
      <c r="E221" s="467"/>
      <c r="F221" s="467"/>
      <c r="G221" s="467"/>
      <c r="H221" s="467"/>
      <c r="I221" s="467"/>
      <c r="J221" s="467"/>
      <c r="K221" s="467"/>
      <c r="L221" s="467"/>
      <c r="M221" s="318"/>
    </row>
    <row r="222" customFormat="false" ht="5.1" hidden="false" customHeight="true" outlineLevel="0" collapsed="false">
      <c r="A222" s="167"/>
      <c r="B222" s="142"/>
      <c r="C222" s="142"/>
      <c r="D222" s="142"/>
      <c r="E222" s="142"/>
      <c r="F222" s="142"/>
      <c r="G222" s="142"/>
      <c r="H222" s="142"/>
      <c r="I222" s="142"/>
      <c r="J222" s="142"/>
      <c r="K222" s="142"/>
      <c r="L222" s="379"/>
      <c r="M222" s="318"/>
    </row>
    <row r="223" customFormat="false" ht="16.5" hidden="false" customHeight="true" outlineLevel="0" collapsed="false">
      <c r="A223" s="167"/>
      <c r="B223" s="352" t="s">
        <v>225</v>
      </c>
      <c r="C223" s="142"/>
      <c r="D223" s="383" t="s">
        <v>315</v>
      </c>
      <c r="E223" s="383"/>
      <c r="F223" s="388" t="s">
        <v>316</v>
      </c>
      <c r="G223" s="142"/>
      <c r="H223" s="142"/>
      <c r="I223" s="383" t="s">
        <v>317</v>
      </c>
      <c r="J223" s="383"/>
      <c r="K223" s="383"/>
      <c r="L223" s="379"/>
      <c r="M223" s="318"/>
    </row>
    <row r="224" customFormat="false" ht="11.25" hidden="false" customHeight="true" outlineLevel="0" collapsed="false">
      <c r="A224" s="167"/>
      <c r="B224" s="142"/>
      <c r="C224" s="142"/>
      <c r="D224" s="383"/>
      <c r="E224" s="383"/>
      <c r="F224" s="355"/>
      <c r="G224" s="142"/>
      <c r="H224" s="142"/>
      <c r="I224" s="383"/>
      <c r="J224" s="383"/>
      <c r="K224" s="383"/>
      <c r="L224" s="379"/>
      <c r="M224" s="318"/>
      <c r="N224" s="468" t="n">
        <f aca="false">SUM(E228:E238)</f>
        <v>0.07</v>
      </c>
      <c r="P224" s="468" t="n">
        <f aca="false">SUM(J226:J238)</f>
        <v>0.07</v>
      </c>
    </row>
    <row r="225" customFormat="false" ht="6" hidden="false" customHeight="true" outlineLevel="0" collapsed="false">
      <c r="A225" s="167"/>
      <c r="B225" s="142"/>
      <c r="C225" s="142"/>
      <c r="D225" s="383"/>
      <c r="E225" s="383"/>
      <c r="F225" s="355"/>
      <c r="G225" s="142"/>
      <c r="H225" s="142"/>
      <c r="I225" s="383"/>
      <c r="J225" s="383"/>
      <c r="K225" s="383"/>
      <c r="L225" s="379"/>
      <c r="M225" s="318"/>
    </row>
    <row r="226" customFormat="false" ht="13.5" hidden="false" customHeight="true" outlineLevel="0" collapsed="false">
      <c r="A226" s="167"/>
      <c r="B226" s="142"/>
      <c r="C226" s="142"/>
      <c r="D226" s="383"/>
      <c r="E226" s="383"/>
      <c r="F226" s="205" t="s">
        <v>318</v>
      </c>
      <c r="G226" s="403" t="str">
        <f aca="false">IF(K201&gt;60,"X","-")</f>
        <v>-</v>
      </c>
      <c r="H226" s="142"/>
      <c r="I226" s="142"/>
      <c r="J226" s="469"/>
      <c r="K226" s="383"/>
      <c r="L226" s="379"/>
      <c r="M226" s="318"/>
    </row>
    <row r="227" customFormat="false" ht="6" hidden="false" customHeight="true" outlineLevel="0" collapsed="false">
      <c r="A227" s="167"/>
      <c r="B227" s="142"/>
      <c r="C227" s="142"/>
      <c r="D227" s="142"/>
      <c r="E227" s="142"/>
      <c r="K227" s="142"/>
      <c r="L227" s="379"/>
      <c r="M227" s="318"/>
    </row>
    <row r="228" customFormat="false" ht="13.2" hidden="false" customHeight="true" outlineLevel="0" collapsed="false">
      <c r="A228" s="167"/>
      <c r="B228" s="295" t="s">
        <v>319</v>
      </c>
      <c r="C228" s="403" t="str">
        <f aca="false">IF(K199&gt;160,"X","-")</f>
        <v>-</v>
      </c>
      <c r="D228" s="142"/>
      <c r="E228" s="470" t="str">
        <f aca="false">IF($C$49="X"," ",IF(C228="X",N228,IF(C228="-"," ",0)))</f>
        <v> </v>
      </c>
      <c r="F228" s="205" t="s">
        <v>320</v>
      </c>
      <c r="G228" s="403" t="str">
        <f aca="false">IF(K201&gt;60,"-",IF(K201&gt;55,"X","-"))</f>
        <v>-</v>
      </c>
      <c r="H228" s="142"/>
      <c r="I228" s="142"/>
      <c r="J228" s="469" t="str">
        <f aca="false">O228</f>
        <v> </v>
      </c>
      <c r="L228" s="379"/>
      <c r="M228" s="471" t="n">
        <f aca="false">IF(E228=" ",0,IF(G228="x","9%",IF(G226="x","10%",0)))</f>
        <v>0</v>
      </c>
      <c r="N228" s="472" t="n">
        <v>0.09</v>
      </c>
      <c r="O228" s="473" t="str">
        <f aca="false">IF(E228&lt;&gt;" ",IF(K201&gt;60,P228,N228)," ")</f>
        <v> </v>
      </c>
      <c r="P228" s="472" t="n">
        <v>0.1</v>
      </c>
    </row>
    <row r="229" customFormat="false" ht="6" hidden="false" customHeight="true" outlineLevel="0" collapsed="false">
      <c r="A229" s="167"/>
      <c r="B229" s="295"/>
      <c r="C229" s="142"/>
      <c r="D229" s="142"/>
      <c r="E229" s="105"/>
      <c r="F229" s="205"/>
      <c r="G229" s="142"/>
      <c r="H229" s="142"/>
      <c r="I229" s="142"/>
      <c r="J229" s="156"/>
      <c r="L229" s="379"/>
      <c r="M229" s="474"/>
    </row>
    <row r="230" customFormat="false" ht="12.75" hidden="false" customHeight="true" outlineLevel="0" collapsed="false">
      <c r="A230" s="167"/>
      <c r="B230" s="295" t="s">
        <v>321</v>
      </c>
      <c r="C230" s="403" t="str">
        <f aca="false">IF(K199&gt;160,"-",IF(K199&lt;130,"-",IF(K199&lt;160,"X",0)))</f>
        <v>-</v>
      </c>
      <c r="D230" s="142"/>
      <c r="E230" s="470" t="str">
        <f aca="false">IF($C$49="X"," ",IF(C230="X",N230,IF(C230="-"," ",0)))</f>
        <v> </v>
      </c>
      <c r="F230" s="205" t="s">
        <v>322</v>
      </c>
      <c r="G230" s="403" t="str">
        <f aca="false">IF(K201&gt;55,"-",IF(K201&gt;50,"X","-"))</f>
        <v>-</v>
      </c>
      <c r="H230" s="142"/>
      <c r="I230" s="142"/>
      <c r="J230" s="469" t="str">
        <f aca="false">O230</f>
        <v> </v>
      </c>
      <c r="K230" s="475"/>
      <c r="L230" s="379"/>
      <c r="M230" s="471" t="n">
        <f aca="false">IF(E230=" ",0,IF(G228="x","9%",IF(E228="-","8%",0)))</f>
        <v>0</v>
      </c>
      <c r="N230" s="472" t="n">
        <v>0.08</v>
      </c>
      <c r="O230" s="425" t="str">
        <f aca="false">IF(E230&lt;&gt;" ",IF(K201&gt;55,P230,N230)," ")</f>
        <v> </v>
      </c>
      <c r="P230" s="472" t="n">
        <v>0.09</v>
      </c>
    </row>
    <row r="231" customFormat="false" ht="5.1" hidden="false" customHeight="true" outlineLevel="0" collapsed="false">
      <c r="A231" s="167"/>
      <c r="B231" s="295"/>
      <c r="C231" s="142"/>
      <c r="D231" s="142"/>
      <c r="E231" s="105"/>
      <c r="F231" s="205"/>
      <c r="G231" s="142"/>
      <c r="H231" s="142"/>
      <c r="I231" s="142"/>
      <c r="J231" s="156"/>
      <c r="K231" s="142"/>
      <c r="L231" s="379"/>
      <c r="M231" s="471"/>
    </row>
    <row r="232" customFormat="false" ht="13.2" hidden="false" customHeight="true" outlineLevel="0" collapsed="false">
      <c r="A232" s="167"/>
      <c r="B232" s="295" t="s">
        <v>323</v>
      </c>
      <c r="C232" s="403" t="str">
        <f aca="false">IF(K199&gt;130,"-",IF(K199&lt;110,"-",IF(K199&lt;130,"X",0)))</f>
        <v>-</v>
      </c>
      <c r="D232" s="142"/>
      <c r="E232" s="470" t="str">
        <f aca="false">IF($C$49="X"," ",IF(C232="X",N232,IF(C232="-"," ",0)))</f>
        <v> </v>
      </c>
      <c r="F232" s="205" t="s">
        <v>324</v>
      </c>
      <c r="G232" s="403" t="str">
        <f aca="false">IF(K201&gt;50,"-",IF(K201&gt;45,"X","-"))</f>
        <v>-</v>
      </c>
      <c r="H232" s="142"/>
      <c r="I232" s="142"/>
      <c r="J232" s="469" t="str">
        <f aca="false">O232</f>
        <v> </v>
      </c>
      <c r="K232" s="475"/>
      <c r="L232" s="379"/>
      <c r="M232" s="471" t="n">
        <f aca="false">IF(E232=" ",0,IF(G230="x","9%",IF(G228="x","9%",IF(E232="8%","8%",0))))</f>
        <v>0</v>
      </c>
      <c r="N232" s="472" t="n">
        <v>0.08</v>
      </c>
      <c r="O232" s="425" t="str">
        <f aca="false">IF(E232&lt;&gt;" ",IF(K201&gt;50,P232,N232)," ")</f>
        <v> </v>
      </c>
      <c r="P232" s="472" t="n">
        <v>0.09</v>
      </c>
    </row>
    <row r="233" customFormat="false" ht="5.1" hidden="false" customHeight="true" outlineLevel="0" collapsed="false">
      <c r="A233" s="167"/>
      <c r="B233" s="295"/>
      <c r="C233" s="142"/>
      <c r="D233" s="142"/>
      <c r="E233" s="105"/>
      <c r="F233" s="205"/>
      <c r="G233" s="142"/>
      <c r="H233" s="142"/>
      <c r="I233" s="142"/>
      <c r="J233" s="156"/>
      <c r="K233" s="142"/>
      <c r="L233" s="379"/>
      <c r="M233" s="471"/>
    </row>
    <row r="234" customFormat="false" ht="13.2" hidden="false" customHeight="true" outlineLevel="0" collapsed="false">
      <c r="A234" s="167"/>
      <c r="B234" s="295" t="s">
        <v>325</v>
      </c>
      <c r="C234" s="403" t="str">
        <f aca="false">IF(K199&gt;110,"-",IF(K199&lt;95,"-",IF(K199&lt;110,"X",0)))</f>
        <v>-</v>
      </c>
      <c r="D234" s="142"/>
      <c r="E234" s="470" t="str">
        <f aca="false">IF($C$49="X"," ",IF(C234="X",N234,IF(C234="-"," ",0)))</f>
        <v> </v>
      </c>
      <c r="F234" s="205" t="s">
        <v>326</v>
      </c>
      <c r="G234" s="403" t="str">
        <f aca="false">IF(K201&gt;45,"-",IF(K201&gt;40,"X","-"))</f>
        <v>-</v>
      </c>
      <c r="H234" s="142"/>
      <c r="I234" s="142"/>
      <c r="J234" s="469" t="str">
        <f aca="false">O234</f>
        <v> </v>
      </c>
      <c r="K234" s="475"/>
      <c r="L234" s="379"/>
      <c r="M234" s="471" t="n">
        <f aca="false">IF(E234=" ",0,IF(G232="x","8%",IF(G230="x","8%",IF(G228="x","8%",IF(E234="7%","7%",0)))))</f>
        <v>0</v>
      </c>
      <c r="N234" s="472" t="n">
        <v>0.07</v>
      </c>
      <c r="O234" s="425" t="str">
        <f aca="false">IF(E234&lt;&gt;" ",IF(K201&gt;45,P234,N234)," ")</f>
        <v> </v>
      </c>
      <c r="P234" s="472" t="n">
        <v>0.08</v>
      </c>
    </row>
    <row r="235" customFormat="false" ht="5.1" hidden="false" customHeight="true" outlineLevel="0" collapsed="false">
      <c r="A235" s="167"/>
      <c r="B235" s="295"/>
      <c r="C235" s="142"/>
      <c r="D235" s="142"/>
      <c r="E235" s="105"/>
      <c r="F235" s="205"/>
      <c r="G235" s="142"/>
      <c r="H235" s="142"/>
      <c r="I235" s="142"/>
      <c r="J235" s="156"/>
      <c r="K235" s="142"/>
      <c r="L235" s="379"/>
      <c r="M235" s="474"/>
    </row>
    <row r="236" customFormat="false" ht="13.2" hidden="false" customHeight="true" outlineLevel="0" collapsed="false">
      <c r="A236" s="167"/>
      <c r="B236" s="295" t="s">
        <v>327</v>
      </c>
      <c r="C236" s="403" t="str">
        <f aca="false">IF(K199&lt;95,"X","-")</f>
        <v>X</v>
      </c>
      <c r="D236" s="142"/>
      <c r="E236" s="469" t="n">
        <f aca="false">IF($C$49="X"," ",IF(C236="X",N236,IF(C236="-"," ",0)))</f>
        <v>0.07</v>
      </c>
      <c r="F236" s="205" t="s">
        <v>328</v>
      </c>
      <c r="G236" s="403" t="str">
        <f aca="false">IF(K201&lt;=40,"X","-")</f>
        <v>X</v>
      </c>
      <c r="H236" s="142"/>
      <c r="I236" s="142"/>
      <c r="J236" s="469" t="n">
        <f aca="false">O236</f>
        <v>0.07</v>
      </c>
      <c r="K236" s="475"/>
      <c r="L236" s="379"/>
      <c r="M236" s="471" t="n">
        <f aca="false">IF(E236=" ",0,IF(G234="x","8%",IF(G232="x","8%",IF(G230="x","8%",IF(G228="x","8%",IF(E236="7%","7%",0))))))</f>
        <v>0</v>
      </c>
      <c r="N236" s="472" t="n">
        <v>0.07</v>
      </c>
      <c r="O236" s="472" t="n">
        <f aca="false">IF(E236&lt;&gt;" ",IF(K201&gt;40,P236,N236)," ")</f>
        <v>0.07</v>
      </c>
      <c r="P236" s="472" t="n">
        <v>0.08</v>
      </c>
    </row>
    <row r="237" customFormat="false" ht="5.1" hidden="false" customHeight="true" outlineLevel="0" collapsed="false">
      <c r="A237" s="167"/>
      <c r="B237" s="142"/>
      <c r="C237" s="142"/>
      <c r="D237" s="142"/>
      <c r="E237" s="105"/>
      <c r="K237" s="142"/>
      <c r="L237" s="379"/>
      <c r="M237" s="474"/>
    </row>
    <row r="238" customFormat="false" ht="13.2" hidden="false" customHeight="true" outlineLevel="0" collapsed="false">
      <c r="A238" s="167"/>
      <c r="B238" s="295" t="s">
        <v>329</v>
      </c>
      <c r="C238" s="476"/>
      <c r="D238" s="142"/>
      <c r="E238" s="475" t="str">
        <f aca="false">IF(C238="X",N238," ")</f>
        <v> </v>
      </c>
      <c r="J238" s="477" t="str">
        <f aca="false">E238</f>
        <v> </v>
      </c>
      <c r="K238" s="475" t="s">
        <v>330</v>
      </c>
      <c r="L238" s="379"/>
      <c r="M238" s="471" t="n">
        <f aca="false">IF(J238=" ",0,IF(J238="10%",0.1,0))</f>
        <v>0</v>
      </c>
      <c r="N238" s="472" t="n">
        <v>0.1</v>
      </c>
    </row>
    <row r="239" customFormat="false" ht="9" hidden="false" customHeight="true" outlineLevel="0" collapsed="false">
      <c r="A239" s="167"/>
      <c r="B239" s="142"/>
      <c r="C239" s="142"/>
      <c r="D239" s="142"/>
      <c r="E239" s="142"/>
      <c r="F239" s="142"/>
      <c r="G239" s="142"/>
      <c r="H239" s="142"/>
      <c r="I239" s="142"/>
      <c r="J239" s="142"/>
      <c r="K239" s="142"/>
      <c r="L239" s="379"/>
      <c r="M239" s="471" t="n">
        <f aca="false">M228+M230+M232+M234+M236+M238</f>
        <v>0</v>
      </c>
    </row>
    <row r="240" customFormat="false" ht="6" hidden="false" customHeight="true" outlineLevel="0" collapsed="false">
      <c r="A240" s="167"/>
      <c r="B240" s="142"/>
      <c r="C240" s="142"/>
      <c r="D240" s="142"/>
      <c r="E240" s="142"/>
      <c r="F240" s="142"/>
      <c r="G240" s="142"/>
      <c r="H240" s="142"/>
      <c r="I240" s="142"/>
      <c r="J240" s="142"/>
      <c r="K240" s="142"/>
      <c r="L240" s="379"/>
      <c r="M240" s="318"/>
    </row>
    <row r="241" customFormat="false" ht="12.75" hidden="false" customHeight="true" outlineLevel="0" collapsed="false">
      <c r="A241" s="167"/>
      <c r="B241" s="142" t="s">
        <v>331</v>
      </c>
      <c r="C241" s="142"/>
      <c r="D241" s="142"/>
      <c r="E241" s="142"/>
      <c r="F241" s="142"/>
      <c r="G241" s="476"/>
      <c r="H241" s="142"/>
      <c r="I241" s="142"/>
      <c r="J241" s="142"/>
      <c r="K241" s="142"/>
      <c r="L241" s="379"/>
      <c r="M241" s="318"/>
      <c r="N241" s="425" t="n">
        <f aca="false">IF(G241="X",1,0)</f>
        <v>0</v>
      </c>
    </row>
    <row r="242" customFormat="false" ht="6" hidden="false" customHeight="true" outlineLevel="0" collapsed="false">
      <c r="A242" s="167"/>
      <c r="B242" s="142"/>
      <c r="C242" s="142"/>
      <c r="D242" s="142"/>
      <c r="E242" s="142"/>
      <c r="F242" s="142"/>
      <c r="G242" s="295"/>
      <c r="H242" s="142"/>
      <c r="I242" s="142"/>
      <c r="J242" s="142"/>
      <c r="K242" s="142"/>
      <c r="L242" s="379"/>
      <c r="M242" s="318"/>
    </row>
    <row r="243" customFormat="false" ht="13.2" hidden="false" customHeight="true" outlineLevel="0" collapsed="false">
      <c r="A243" s="167"/>
      <c r="B243" s="142" t="s">
        <v>332</v>
      </c>
      <c r="C243" s="142"/>
      <c r="D243" s="142"/>
      <c r="E243" s="142"/>
      <c r="F243" s="142"/>
      <c r="G243" s="476" t="s">
        <v>238</v>
      </c>
      <c r="H243" s="142"/>
      <c r="I243" s="142"/>
      <c r="J243" s="142"/>
      <c r="K243" s="142"/>
      <c r="L243" s="379"/>
      <c r="M243" s="318"/>
      <c r="N243" s="425" t="n">
        <f aca="false">IF(G243="X",1,0)</f>
        <v>0</v>
      </c>
    </row>
    <row r="244" customFormat="false" ht="5.1" hidden="false" customHeight="true" outlineLevel="0" collapsed="false">
      <c r="A244" s="167"/>
      <c r="B244" s="142"/>
      <c r="C244" s="142"/>
      <c r="D244" s="142"/>
      <c r="E244" s="142"/>
      <c r="F244" s="142"/>
      <c r="G244" s="295"/>
      <c r="H244" s="142"/>
      <c r="I244" s="142"/>
      <c r="J244" s="142"/>
      <c r="K244" s="142"/>
      <c r="L244" s="379"/>
      <c r="M244" s="318"/>
    </row>
    <row r="245" customFormat="false" ht="12.75" hidden="false" customHeight="true" outlineLevel="0" collapsed="false">
      <c r="A245" s="167"/>
      <c r="B245" s="142" t="s">
        <v>333</v>
      </c>
      <c r="C245" s="142"/>
      <c r="D245" s="142"/>
      <c r="E245" s="142"/>
      <c r="F245" s="142"/>
      <c r="G245" s="476"/>
      <c r="H245" s="142"/>
      <c r="I245" s="142"/>
      <c r="J245" s="142"/>
      <c r="K245" s="142"/>
      <c r="L245" s="379"/>
      <c r="M245" s="318"/>
      <c r="N245" s="425" t="n">
        <f aca="false">IF(G245="X",1,0)</f>
        <v>0</v>
      </c>
    </row>
    <row r="246" customFormat="false" ht="4.5" hidden="false" customHeight="true" outlineLevel="0" collapsed="false">
      <c r="A246" s="167"/>
      <c r="B246" s="142"/>
      <c r="C246" s="142"/>
      <c r="D246" s="142"/>
      <c r="E246" s="142"/>
      <c r="F246" s="142"/>
      <c r="G246" s="142"/>
      <c r="H246" s="142"/>
      <c r="I246" s="142"/>
      <c r="J246" s="142"/>
      <c r="K246" s="142"/>
      <c r="L246" s="379"/>
      <c r="M246" s="318"/>
    </row>
    <row r="247" customFormat="false" ht="15" hidden="false" customHeight="true" outlineLevel="0" collapsed="false">
      <c r="A247" s="167"/>
      <c r="B247" s="142" t="s">
        <v>334</v>
      </c>
      <c r="C247" s="142"/>
      <c r="D247" s="142"/>
      <c r="E247" s="142"/>
      <c r="F247" s="142"/>
      <c r="G247" s="142"/>
      <c r="H247" s="142"/>
      <c r="I247" s="142"/>
      <c r="J247" s="142"/>
      <c r="K247" s="478" t="n">
        <f aca="false">IF(N247&gt;0,O247-0.01,O247)</f>
        <v>0.07</v>
      </c>
      <c r="L247" s="478"/>
      <c r="M247" s="318"/>
      <c r="N247" s="425" t="n">
        <f aca="false">N241+N243+N245</f>
        <v>0</v>
      </c>
      <c r="O247" s="473" t="n">
        <f aca="false">IF(J238&lt;&gt;" ",J238,P224)</f>
        <v>0.07</v>
      </c>
    </row>
    <row r="248" customFormat="false" ht="4.5" hidden="false" customHeight="true" outlineLevel="0" collapsed="false">
      <c r="A248" s="167"/>
      <c r="B248" s="142"/>
      <c r="C248" s="142"/>
      <c r="D248" s="142"/>
      <c r="E248" s="142"/>
      <c r="F248" s="142"/>
      <c r="G248" s="142"/>
      <c r="H248" s="142"/>
      <c r="I248" s="142"/>
      <c r="J248" s="142"/>
      <c r="K248" s="142"/>
      <c r="L248" s="379"/>
      <c r="M248" s="318"/>
    </row>
    <row r="249" customFormat="false" ht="4.5" hidden="false" customHeight="true" outlineLevel="0" collapsed="false">
      <c r="A249" s="167"/>
      <c r="B249" s="142"/>
      <c r="C249" s="142"/>
      <c r="D249" s="142"/>
      <c r="E249" s="142"/>
      <c r="F249" s="142"/>
      <c r="G249" s="142"/>
      <c r="H249" s="142"/>
      <c r="I249" s="142"/>
      <c r="J249" s="142"/>
      <c r="K249" s="142"/>
      <c r="L249" s="379"/>
      <c r="M249" s="318"/>
    </row>
    <row r="250" customFormat="false" ht="12.75" hidden="false" customHeight="true" outlineLevel="0" collapsed="false">
      <c r="A250" s="467" t="s">
        <v>335</v>
      </c>
      <c r="B250" s="467"/>
      <c r="C250" s="467"/>
      <c r="D250" s="467"/>
      <c r="E250" s="467"/>
      <c r="F250" s="467"/>
      <c r="G250" s="467"/>
      <c r="H250" s="467"/>
      <c r="I250" s="467"/>
      <c r="J250" s="467"/>
      <c r="K250" s="467"/>
      <c r="L250" s="467"/>
      <c r="M250" s="318"/>
    </row>
    <row r="251" customFormat="false" ht="6" hidden="false" customHeight="true" outlineLevel="0" collapsed="false">
      <c r="A251" s="167"/>
      <c r="B251" s="142"/>
      <c r="C251" s="142"/>
      <c r="D251" s="142"/>
      <c r="E251" s="142"/>
      <c r="F251" s="142"/>
      <c r="G251" s="142"/>
      <c r="H251" s="142"/>
      <c r="I251" s="142"/>
      <c r="J251" s="142"/>
      <c r="K251" s="142"/>
      <c r="L251" s="379"/>
      <c r="M251" s="318"/>
    </row>
    <row r="252" customFormat="false" ht="18" hidden="false" customHeight="true" outlineLevel="0" collapsed="false">
      <c r="A252" s="167"/>
      <c r="B252" s="142" t="s">
        <v>336</v>
      </c>
      <c r="C252" s="142"/>
      <c r="D252" s="142"/>
      <c r="E252" s="142"/>
      <c r="F252" s="142"/>
      <c r="G252" s="142"/>
      <c r="H252" s="142" t="s">
        <v>169</v>
      </c>
      <c r="I252" s="479" t="n">
        <f aca="false">K218</f>
        <v>0</v>
      </c>
      <c r="J252" s="479"/>
      <c r="K252" s="479"/>
      <c r="L252" s="479"/>
      <c r="M252" s="318"/>
    </row>
    <row r="253" customFormat="false" ht="5.1" hidden="false" customHeight="true" outlineLevel="0" collapsed="false">
      <c r="A253" s="167"/>
      <c r="B253" s="142"/>
      <c r="C253" s="142"/>
      <c r="D253" s="142"/>
      <c r="E253" s="142"/>
      <c r="F253" s="142"/>
      <c r="G253" s="142"/>
      <c r="H253" s="142"/>
      <c r="I253" s="142"/>
      <c r="J253" s="142"/>
      <c r="K253" s="142"/>
      <c r="L253" s="379"/>
      <c r="M253" s="318"/>
    </row>
    <row r="254" customFormat="false" ht="18" hidden="false" customHeight="true" outlineLevel="0" collapsed="false">
      <c r="A254" s="167"/>
      <c r="B254" s="142" t="s">
        <v>337</v>
      </c>
      <c r="C254" s="142"/>
      <c r="D254" s="142"/>
      <c r="E254" s="142"/>
      <c r="F254" s="142"/>
      <c r="G254" s="142"/>
      <c r="H254" s="142" t="s">
        <v>338</v>
      </c>
      <c r="I254" s="480" t="n">
        <f aca="false">K247</f>
        <v>0.07</v>
      </c>
      <c r="J254" s="480"/>
      <c r="K254" s="480"/>
      <c r="L254" s="480"/>
      <c r="M254" s="318"/>
    </row>
    <row r="255" customFormat="false" ht="5.1" hidden="false" customHeight="true" outlineLevel="0" collapsed="false">
      <c r="A255" s="167"/>
      <c r="B255" s="142"/>
      <c r="C255" s="142"/>
      <c r="D255" s="142"/>
      <c r="E255" s="142"/>
      <c r="F255" s="142"/>
      <c r="G255" s="142"/>
      <c r="H255" s="142"/>
      <c r="I255" s="142"/>
      <c r="J255" s="142"/>
      <c r="K255" s="142"/>
      <c r="L255" s="379"/>
      <c r="M255" s="318"/>
    </row>
    <row r="256" customFormat="false" ht="18" hidden="false" customHeight="true" outlineLevel="0" collapsed="false">
      <c r="A256" s="481"/>
      <c r="B256" s="197" t="s">
        <v>339</v>
      </c>
      <c r="C256" s="197"/>
      <c r="D256" s="197"/>
      <c r="E256" s="197"/>
      <c r="F256" s="197"/>
      <c r="G256" s="197"/>
      <c r="H256" s="197" t="s">
        <v>169</v>
      </c>
      <c r="I256" s="482" t="n">
        <f aca="false">I252*I254</f>
        <v>0</v>
      </c>
      <c r="J256" s="482"/>
      <c r="K256" s="482"/>
      <c r="L256" s="482"/>
      <c r="M256" s="318"/>
    </row>
    <row r="257" s="112" customFormat="true" ht="28.35" hidden="false" customHeight="true" outlineLevel="0" collapsed="false">
      <c r="A257" s="483"/>
      <c r="B257" s="484"/>
      <c r="C257" s="484"/>
      <c r="D257" s="484"/>
      <c r="E257" s="484"/>
      <c r="F257" s="484"/>
      <c r="G257" s="484"/>
      <c r="H257" s="484"/>
      <c r="I257" s="484"/>
      <c r="J257" s="484"/>
      <c r="K257" s="484"/>
      <c r="L257" s="485"/>
      <c r="M257" s="430"/>
      <c r="N257" s="118"/>
      <c r="O257" s="118"/>
      <c r="P257" s="118"/>
      <c r="Q257" s="118"/>
      <c r="R257" s="118"/>
    </row>
    <row r="258" s="112" customFormat="true" ht="18" hidden="false" customHeight="true" outlineLevel="0" collapsed="false">
      <c r="A258" s="432" t="s">
        <v>341</v>
      </c>
      <c r="B258" s="209"/>
      <c r="C258" s="209"/>
      <c r="D258" s="209"/>
      <c r="E258" s="209"/>
      <c r="F258" s="434" t="s">
        <v>162</v>
      </c>
      <c r="G258" s="211"/>
      <c r="H258" s="211"/>
      <c r="I258" s="123"/>
      <c r="J258" s="436"/>
      <c r="K258" s="434" t="s">
        <v>297</v>
      </c>
      <c r="L258" s="437"/>
      <c r="M258" s="430"/>
      <c r="N258" s="118"/>
      <c r="O258" s="118"/>
      <c r="P258" s="118"/>
      <c r="Q258" s="118"/>
      <c r="R258" s="118"/>
    </row>
    <row r="259" s="112" customFormat="true" ht="9.75" hidden="false" customHeight="true" outlineLevel="0" collapsed="false">
      <c r="A259" s="438"/>
      <c r="B259" s="439"/>
      <c r="C259" s="440"/>
      <c r="D259" s="440"/>
      <c r="E259" s="123"/>
      <c r="F259" s="440"/>
      <c r="G259" s="434"/>
      <c r="H259" s="440"/>
      <c r="I259" s="123"/>
      <c r="J259" s="434"/>
      <c r="K259" s="441"/>
      <c r="L259" s="488"/>
      <c r="M259" s="430"/>
      <c r="N259" s="118"/>
      <c r="O259" s="118"/>
      <c r="P259" s="118"/>
      <c r="Q259" s="118"/>
      <c r="R259" s="118"/>
    </row>
    <row r="260" customFormat="false" ht="13.2" hidden="false" customHeight="true" outlineLevel="0" collapsed="false">
      <c r="A260" s="442" t="s">
        <v>298</v>
      </c>
      <c r="B260" s="442"/>
      <c r="C260" s="442"/>
      <c r="D260" s="442"/>
      <c r="E260" s="442"/>
      <c r="F260" s="442"/>
      <c r="G260" s="442"/>
      <c r="H260" s="442"/>
      <c r="I260" s="442"/>
      <c r="J260" s="442"/>
      <c r="K260" s="442"/>
      <c r="L260" s="442"/>
      <c r="M260" s="318"/>
    </row>
    <row r="261" customFormat="false" ht="9" hidden="false" customHeight="true" outlineLevel="0" collapsed="false">
      <c r="A261" s="443"/>
      <c r="B261" s="444"/>
      <c r="C261" s="101"/>
      <c r="D261" s="101"/>
      <c r="E261" s="101"/>
      <c r="F261" s="101"/>
      <c r="G261" s="101"/>
      <c r="H261" s="101"/>
      <c r="I261" s="101"/>
      <c r="J261" s="101"/>
      <c r="K261" s="101"/>
      <c r="L261" s="445"/>
    </row>
    <row r="262" customFormat="false" ht="12.75" hidden="false" customHeight="true" outlineLevel="0" collapsed="false">
      <c r="A262" s="443"/>
      <c r="B262" s="446" t="s">
        <v>299</v>
      </c>
      <c r="C262" s="101"/>
      <c r="D262" s="101"/>
      <c r="E262" s="101"/>
      <c r="F262" s="101"/>
      <c r="G262" s="101"/>
      <c r="H262" s="101"/>
      <c r="I262" s="101"/>
      <c r="J262" s="101"/>
      <c r="K262" s="447"/>
      <c r="L262" s="448"/>
    </row>
    <row r="263" customFormat="false" ht="9" hidden="false" customHeight="true" outlineLevel="0" collapsed="false">
      <c r="A263" s="443"/>
      <c r="B263" s="444"/>
      <c r="C263" s="101"/>
      <c r="D263" s="101"/>
      <c r="E263" s="101"/>
      <c r="F263" s="101"/>
      <c r="G263" s="101"/>
      <c r="H263" s="101"/>
      <c r="I263" s="101"/>
      <c r="J263" s="101"/>
      <c r="K263" s="449"/>
      <c r="L263" s="448"/>
    </row>
    <row r="264" customFormat="false" ht="12.75" hidden="false" customHeight="true" outlineLevel="0" collapsed="false">
      <c r="A264" s="443"/>
      <c r="B264" s="446" t="s">
        <v>300</v>
      </c>
      <c r="C264" s="101"/>
      <c r="D264" s="101"/>
      <c r="E264" s="101"/>
      <c r="F264" s="101"/>
      <c r="G264" s="101"/>
      <c r="H264" s="101"/>
      <c r="I264" s="101"/>
      <c r="J264" s="101"/>
      <c r="K264" s="447"/>
      <c r="L264" s="448"/>
    </row>
    <row r="265" customFormat="false" ht="6.75" hidden="false" customHeight="true" outlineLevel="0" collapsed="false">
      <c r="A265" s="443"/>
      <c r="B265" s="444"/>
      <c r="C265" s="101"/>
      <c r="D265" s="101"/>
      <c r="E265" s="101"/>
      <c r="F265" s="101"/>
      <c r="G265" s="101"/>
      <c r="H265" s="101"/>
      <c r="I265" s="101"/>
      <c r="J265" s="101"/>
      <c r="K265" s="101"/>
      <c r="L265" s="450"/>
    </row>
    <row r="266" customFormat="false" ht="12.75" hidden="false" customHeight="true" outlineLevel="0" collapsed="false">
      <c r="A266" s="443" t="s">
        <v>301</v>
      </c>
      <c r="B266" s="101" t="s">
        <v>302</v>
      </c>
      <c r="C266" s="101"/>
      <c r="D266" s="101"/>
      <c r="E266" s="101"/>
      <c r="F266" s="101"/>
      <c r="G266" s="101"/>
      <c r="H266" s="101"/>
      <c r="I266" s="101"/>
      <c r="J266" s="444" t="s">
        <v>205</v>
      </c>
      <c r="K266" s="447"/>
      <c r="L266" s="448"/>
      <c r="M266" s="318"/>
    </row>
    <row r="267" customFormat="false" ht="9" hidden="false" customHeight="true" outlineLevel="0" collapsed="false">
      <c r="A267" s="443"/>
      <c r="B267" s="101"/>
      <c r="C267" s="101"/>
      <c r="D267" s="101"/>
      <c r="E267" s="101"/>
      <c r="F267" s="101"/>
      <c r="G267" s="101"/>
      <c r="H267" s="101"/>
      <c r="I267" s="101"/>
      <c r="J267" s="444"/>
      <c r="K267" s="101"/>
      <c r="L267" s="450"/>
      <c r="M267" s="318"/>
    </row>
    <row r="268" customFormat="false" ht="12.75" hidden="false" customHeight="true" outlineLevel="0" collapsed="false">
      <c r="A268" s="443"/>
      <c r="B268" s="451" t="s">
        <v>303</v>
      </c>
      <c r="C268" s="451"/>
      <c r="D268" s="451"/>
      <c r="E268" s="101"/>
      <c r="F268" s="101"/>
      <c r="G268" s="101"/>
      <c r="H268" s="101"/>
      <c r="I268" s="101"/>
      <c r="J268" s="444"/>
      <c r="K268" s="101"/>
      <c r="L268" s="452"/>
      <c r="M268" s="318"/>
    </row>
    <row r="269" customFormat="false" ht="12.75" hidden="false" customHeight="true" outlineLevel="0" collapsed="false">
      <c r="A269" s="453" t="s">
        <v>304</v>
      </c>
      <c r="B269" s="451"/>
      <c r="C269" s="451"/>
      <c r="D269" s="451"/>
      <c r="E269" s="101" t="s">
        <v>205</v>
      </c>
      <c r="F269" s="454"/>
      <c r="G269" s="444" t="s">
        <v>305</v>
      </c>
      <c r="H269" s="101" t="n">
        <v>0.6</v>
      </c>
      <c r="I269" s="101" t="s">
        <v>306</v>
      </c>
      <c r="J269" s="444" t="s">
        <v>205</v>
      </c>
      <c r="K269" s="455" t="n">
        <f aca="false">IF(F269&gt;0,F269*H269,0)</f>
        <v>0</v>
      </c>
      <c r="L269" s="456"/>
      <c r="M269" s="318"/>
    </row>
    <row r="270" customFormat="false" ht="6" hidden="false" customHeight="true" outlineLevel="0" collapsed="false">
      <c r="A270" s="443"/>
      <c r="B270" s="101"/>
      <c r="C270" s="101"/>
      <c r="D270" s="101"/>
      <c r="E270" s="101"/>
      <c r="F270" s="101"/>
      <c r="G270" s="101"/>
      <c r="H270" s="101"/>
      <c r="I270" s="101"/>
      <c r="J270" s="444"/>
      <c r="K270" s="101"/>
      <c r="L270" s="450"/>
      <c r="M270" s="318"/>
    </row>
    <row r="271" customFormat="false" ht="13.2" hidden="false" customHeight="true" outlineLevel="0" collapsed="false">
      <c r="A271" s="443"/>
      <c r="B271" s="101"/>
      <c r="C271" s="101"/>
      <c r="D271" s="101"/>
      <c r="E271" s="101"/>
      <c r="F271" s="101"/>
      <c r="G271" s="101"/>
      <c r="H271" s="101"/>
      <c r="I271" s="101"/>
      <c r="J271" s="444"/>
      <c r="K271" s="101"/>
      <c r="L271" s="450"/>
      <c r="M271" s="318"/>
    </row>
    <row r="272" customFormat="false" ht="12.75" hidden="false" customHeight="true" outlineLevel="0" collapsed="false">
      <c r="A272" s="443"/>
      <c r="B272" s="157"/>
      <c r="C272" s="101"/>
      <c r="D272" s="101"/>
      <c r="E272" s="101"/>
      <c r="F272" s="101"/>
      <c r="G272" s="101"/>
      <c r="H272" s="101"/>
      <c r="I272" s="101"/>
      <c r="J272" s="444"/>
      <c r="K272" s="457"/>
      <c r="L272" s="448"/>
      <c r="M272" s="318"/>
    </row>
    <row r="273" customFormat="false" ht="8.25" hidden="false" customHeight="true" outlineLevel="0" collapsed="false">
      <c r="A273" s="443"/>
      <c r="B273" s="157"/>
      <c r="C273" s="101"/>
      <c r="D273" s="101"/>
      <c r="E273" s="101"/>
      <c r="F273" s="101"/>
      <c r="G273" s="101"/>
      <c r="H273" s="101"/>
      <c r="I273" s="101"/>
      <c r="J273" s="444"/>
      <c r="K273" s="101"/>
      <c r="L273" s="450"/>
      <c r="M273" s="318"/>
    </row>
    <row r="274" customFormat="false" ht="12.75" hidden="false" customHeight="true" outlineLevel="0" collapsed="false">
      <c r="A274" s="443" t="s">
        <v>307</v>
      </c>
      <c r="B274" s="101" t="s">
        <v>308</v>
      </c>
      <c r="C274" s="101"/>
      <c r="D274" s="101"/>
      <c r="E274" s="101"/>
      <c r="F274" s="101"/>
      <c r="G274" s="101"/>
      <c r="H274" s="101"/>
      <c r="I274" s="101"/>
      <c r="J274" s="444" t="s">
        <v>205</v>
      </c>
      <c r="K274" s="458" t="n">
        <f aca="false">K266+K269+K272</f>
        <v>0</v>
      </c>
      <c r="L274" s="459"/>
      <c r="M274" s="318"/>
    </row>
    <row r="275" customFormat="false" ht="8.25" hidden="false" customHeight="true" outlineLevel="0" collapsed="false">
      <c r="A275" s="443"/>
      <c r="B275" s="101"/>
      <c r="C275" s="101"/>
      <c r="D275" s="101"/>
      <c r="E275" s="101"/>
      <c r="F275" s="101"/>
      <c r="G275" s="101"/>
      <c r="H275" s="101"/>
      <c r="I275" s="101"/>
      <c r="J275" s="444"/>
      <c r="K275" s="101"/>
      <c r="L275" s="450"/>
      <c r="M275" s="318"/>
    </row>
    <row r="276" customFormat="false" ht="13.2" hidden="false" customHeight="true" outlineLevel="0" collapsed="false">
      <c r="A276" s="443" t="s">
        <v>309</v>
      </c>
      <c r="B276" s="101" t="s">
        <v>310</v>
      </c>
      <c r="C276" s="101"/>
      <c r="D276" s="101"/>
      <c r="E276" s="101"/>
      <c r="F276" s="101"/>
      <c r="G276" s="101"/>
      <c r="H276" s="101"/>
      <c r="I276" s="101"/>
      <c r="J276" s="444"/>
      <c r="K276" s="101"/>
      <c r="L276" s="450"/>
      <c r="M276" s="318"/>
    </row>
    <row r="277" customFormat="false" ht="12.75" hidden="false" customHeight="true" outlineLevel="0" collapsed="false">
      <c r="A277" s="443"/>
      <c r="B277" s="157" t="s">
        <v>311</v>
      </c>
      <c r="C277" s="101"/>
      <c r="D277" s="101"/>
      <c r="E277" s="101"/>
      <c r="F277" s="101"/>
      <c r="G277" s="101"/>
      <c r="H277" s="101"/>
      <c r="I277" s="101"/>
      <c r="J277" s="444" t="s">
        <v>206</v>
      </c>
      <c r="K277" s="455" t="n">
        <f aca="false">('costo-mq'!$O$82)/2</f>
        <v>156.36555</v>
      </c>
      <c r="L277" s="456"/>
    </row>
    <row r="278" customFormat="false" ht="6" hidden="false" customHeight="true" outlineLevel="0" collapsed="false">
      <c r="A278" s="443"/>
      <c r="B278" s="101"/>
      <c r="C278" s="101"/>
      <c r="D278" s="101"/>
      <c r="E278" s="101"/>
      <c r="F278" s="101"/>
      <c r="G278" s="101"/>
      <c r="H278" s="101"/>
      <c r="I278" s="101"/>
      <c r="J278" s="444"/>
      <c r="K278" s="154"/>
      <c r="L278" s="460"/>
      <c r="M278" s="318"/>
    </row>
    <row r="279" customFormat="false" ht="18" hidden="false" customHeight="true" outlineLevel="0" collapsed="false">
      <c r="A279" s="443"/>
      <c r="B279" s="101"/>
      <c r="C279" s="101"/>
      <c r="D279" s="101"/>
      <c r="E279" s="101"/>
      <c r="F279" s="101"/>
      <c r="G279" s="101"/>
      <c r="H279" s="461"/>
      <c r="I279" s="101"/>
      <c r="J279" s="444"/>
      <c r="K279" s="154"/>
      <c r="L279" s="460"/>
      <c r="M279" s="462"/>
    </row>
    <row r="280" customFormat="false" ht="6" hidden="false" customHeight="true" outlineLevel="0" collapsed="false">
      <c r="A280" s="443"/>
      <c r="B280" s="101"/>
      <c r="C280" s="101"/>
      <c r="D280" s="101"/>
      <c r="E280" s="101"/>
      <c r="F280" s="101"/>
      <c r="G280" s="101"/>
      <c r="H280" s="101"/>
      <c r="I280" s="101"/>
      <c r="J280" s="444"/>
      <c r="K280" s="154"/>
      <c r="L280" s="463"/>
      <c r="M280" s="318"/>
    </row>
    <row r="281" customFormat="false" ht="12.75" hidden="false" customHeight="true" outlineLevel="0" collapsed="false">
      <c r="A281" s="443" t="s">
        <v>312</v>
      </c>
      <c r="B281" s="464" t="s">
        <v>313</v>
      </c>
      <c r="C281" s="465"/>
      <c r="D281" s="465"/>
      <c r="E281" s="465"/>
      <c r="F281" s="465"/>
      <c r="G281" s="465"/>
      <c r="H281" s="465"/>
      <c r="I281" s="465"/>
      <c r="J281" s="466" t="s">
        <v>169</v>
      </c>
      <c r="K281" s="458" t="n">
        <f aca="false">K274*K277</f>
        <v>0</v>
      </c>
      <c r="L281" s="459"/>
      <c r="M281" s="318"/>
    </row>
    <row r="282" customFormat="false" ht="13.2" hidden="false" customHeight="true" outlineLevel="0" collapsed="false">
      <c r="A282" s="167"/>
      <c r="B282" s="142"/>
      <c r="C282" s="142"/>
      <c r="D282" s="142"/>
      <c r="E282" s="142"/>
      <c r="F282" s="142"/>
      <c r="G282" s="142"/>
      <c r="H282" s="142"/>
      <c r="I282" s="142"/>
      <c r="J282" s="142"/>
      <c r="K282" s="142"/>
      <c r="L282" s="379"/>
      <c r="M282" s="318"/>
    </row>
    <row r="283" customFormat="false" ht="5.1" hidden="false" customHeight="true" outlineLevel="0" collapsed="false">
      <c r="A283" s="167"/>
      <c r="B283" s="142"/>
      <c r="C283" s="142"/>
      <c r="D283" s="142"/>
      <c r="E283" s="142"/>
      <c r="F283" s="142"/>
      <c r="G283" s="142"/>
      <c r="H283" s="142"/>
      <c r="I283" s="142"/>
      <c r="J283" s="142"/>
      <c r="K283" s="142"/>
      <c r="L283" s="379"/>
      <c r="M283" s="318"/>
    </row>
    <row r="284" customFormat="false" ht="13.2" hidden="false" customHeight="true" outlineLevel="0" collapsed="false">
      <c r="A284" s="467" t="s">
        <v>314</v>
      </c>
      <c r="B284" s="467"/>
      <c r="C284" s="467"/>
      <c r="D284" s="467"/>
      <c r="E284" s="467"/>
      <c r="F284" s="467"/>
      <c r="G284" s="467"/>
      <c r="H284" s="467"/>
      <c r="I284" s="467"/>
      <c r="J284" s="467"/>
      <c r="K284" s="467"/>
      <c r="L284" s="467"/>
      <c r="M284" s="318"/>
    </row>
    <row r="285" customFormat="false" ht="5.1" hidden="false" customHeight="true" outlineLevel="0" collapsed="false">
      <c r="A285" s="167"/>
      <c r="B285" s="142"/>
      <c r="C285" s="142"/>
      <c r="D285" s="142"/>
      <c r="E285" s="142"/>
      <c r="F285" s="142"/>
      <c r="G285" s="142"/>
      <c r="H285" s="142"/>
      <c r="I285" s="142"/>
      <c r="J285" s="142"/>
      <c r="K285" s="142"/>
      <c r="L285" s="379"/>
      <c r="M285" s="318"/>
    </row>
    <row r="286" customFormat="false" ht="16.5" hidden="false" customHeight="true" outlineLevel="0" collapsed="false">
      <c r="A286" s="167"/>
      <c r="B286" s="352" t="s">
        <v>225</v>
      </c>
      <c r="C286" s="142"/>
      <c r="D286" s="383" t="s">
        <v>315</v>
      </c>
      <c r="E286" s="383"/>
      <c r="F286" s="388" t="s">
        <v>316</v>
      </c>
      <c r="G286" s="142"/>
      <c r="H286" s="142"/>
      <c r="I286" s="383" t="s">
        <v>317</v>
      </c>
      <c r="J286" s="383"/>
      <c r="K286" s="383"/>
      <c r="L286" s="379"/>
      <c r="M286" s="318"/>
    </row>
    <row r="287" customFormat="false" ht="11.25" hidden="false" customHeight="true" outlineLevel="0" collapsed="false">
      <c r="A287" s="167"/>
      <c r="B287" s="142"/>
      <c r="C287" s="142"/>
      <c r="D287" s="383"/>
      <c r="E287" s="383"/>
      <c r="F287" s="355"/>
      <c r="G287" s="142"/>
      <c r="H287" s="142"/>
      <c r="I287" s="383"/>
      <c r="J287" s="383"/>
      <c r="K287" s="383"/>
      <c r="L287" s="379"/>
      <c r="M287" s="318"/>
      <c r="N287" s="468" t="n">
        <f aca="false">SUM(E291:E301)</f>
        <v>0.07</v>
      </c>
      <c r="P287" s="468" t="n">
        <f aca="false">SUM(J289:J301)</f>
        <v>0.07</v>
      </c>
    </row>
    <row r="288" customFormat="false" ht="6" hidden="false" customHeight="true" outlineLevel="0" collapsed="false">
      <c r="A288" s="167"/>
      <c r="B288" s="142"/>
      <c r="C288" s="142"/>
      <c r="D288" s="383"/>
      <c r="E288" s="383"/>
      <c r="F288" s="355"/>
      <c r="G288" s="142"/>
      <c r="H288" s="142"/>
      <c r="I288" s="383"/>
      <c r="J288" s="383"/>
      <c r="K288" s="383"/>
      <c r="L288" s="379"/>
      <c r="M288" s="318"/>
    </row>
    <row r="289" customFormat="false" ht="13.5" hidden="false" customHeight="true" outlineLevel="0" collapsed="false">
      <c r="A289" s="167"/>
      <c r="B289" s="142"/>
      <c r="C289" s="142"/>
      <c r="D289" s="383"/>
      <c r="E289" s="383"/>
      <c r="F289" s="205" t="s">
        <v>318</v>
      </c>
      <c r="G289" s="403" t="str">
        <f aca="false">IF(K264&gt;60,"X","-")</f>
        <v>-</v>
      </c>
      <c r="H289" s="142"/>
      <c r="I289" s="142"/>
      <c r="J289" s="469"/>
      <c r="K289" s="383"/>
      <c r="L289" s="379"/>
      <c r="M289" s="318"/>
    </row>
    <row r="290" customFormat="false" ht="6" hidden="false" customHeight="true" outlineLevel="0" collapsed="false">
      <c r="A290" s="167"/>
      <c r="B290" s="142"/>
      <c r="C290" s="142"/>
      <c r="D290" s="142"/>
      <c r="E290" s="142"/>
      <c r="K290" s="142"/>
      <c r="L290" s="379"/>
      <c r="M290" s="318"/>
    </row>
    <row r="291" customFormat="false" ht="13.2" hidden="false" customHeight="true" outlineLevel="0" collapsed="false">
      <c r="A291" s="167"/>
      <c r="B291" s="295" t="s">
        <v>319</v>
      </c>
      <c r="C291" s="403" t="str">
        <f aca="false">IF(K262&gt;160,"X","-")</f>
        <v>-</v>
      </c>
      <c r="D291" s="142"/>
      <c r="E291" s="470" t="str">
        <f aca="false">IF($C$49="X"," ",IF(C291="X",N291,IF(C291="-"," ",0)))</f>
        <v> </v>
      </c>
      <c r="F291" s="205" t="s">
        <v>320</v>
      </c>
      <c r="G291" s="403" t="str">
        <f aca="false">IF(K264&gt;60,"-",IF(K264&gt;55,"X","-"))</f>
        <v>-</v>
      </c>
      <c r="H291" s="142"/>
      <c r="I291" s="142"/>
      <c r="J291" s="469" t="str">
        <f aca="false">O291</f>
        <v> </v>
      </c>
      <c r="L291" s="379"/>
      <c r="M291" s="471" t="n">
        <f aca="false">IF(E291=" ",0,IF(G291="x","9%",IF(G289="x","10%",0)))</f>
        <v>0</v>
      </c>
      <c r="N291" s="472" t="n">
        <v>0.09</v>
      </c>
      <c r="O291" s="473" t="str">
        <f aca="false">IF(E291&lt;&gt;" ",IF(K264&gt;60,P291,N291)," ")</f>
        <v> </v>
      </c>
      <c r="P291" s="472" t="n">
        <v>0.1</v>
      </c>
    </row>
    <row r="292" customFormat="false" ht="6" hidden="false" customHeight="true" outlineLevel="0" collapsed="false">
      <c r="A292" s="167"/>
      <c r="B292" s="295"/>
      <c r="C292" s="142"/>
      <c r="D292" s="142"/>
      <c r="E292" s="105"/>
      <c r="F292" s="205"/>
      <c r="G292" s="142"/>
      <c r="H292" s="142"/>
      <c r="I292" s="142"/>
      <c r="J292" s="156"/>
      <c r="L292" s="379"/>
      <c r="M292" s="474"/>
    </row>
    <row r="293" customFormat="false" ht="12.75" hidden="false" customHeight="true" outlineLevel="0" collapsed="false">
      <c r="A293" s="167"/>
      <c r="B293" s="295" t="s">
        <v>321</v>
      </c>
      <c r="C293" s="403" t="str">
        <f aca="false">IF(K262&gt;160,"-",IF(K262&lt;130,"-",IF(K262&lt;160,"X",0)))</f>
        <v>-</v>
      </c>
      <c r="D293" s="142"/>
      <c r="E293" s="470" t="str">
        <f aca="false">IF($C$49="X"," ",IF(C293="X",N293,IF(C293="-"," ",0)))</f>
        <v> </v>
      </c>
      <c r="F293" s="205" t="s">
        <v>322</v>
      </c>
      <c r="G293" s="403" t="str">
        <f aca="false">IF(K264&gt;55,"-",IF(K264&gt;50,"X","-"))</f>
        <v>-</v>
      </c>
      <c r="H293" s="142"/>
      <c r="I293" s="142"/>
      <c r="J293" s="469" t="str">
        <f aca="false">O293</f>
        <v> </v>
      </c>
      <c r="K293" s="475"/>
      <c r="L293" s="379"/>
      <c r="M293" s="471" t="n">
        <f aca="false">IF(E293=" ",0,IF(G291="x","9%",IF(E291="-","8%",0)))</f>
        <v>0</v>
      </c>
      <c r="N293" s="472" t="n">
        <v>0.08</v>
      </c>
      <c r="O293" s="425" t="str">
        <f aca="false">IF(E293&lt;&gt;" ",IF(K264&gt;55,P293,N293)," ")</f>
        <v> </v>
      </c>
      <c r="P293" s="472" t="n">
        <v>0.09</v>
      </c>
    </row>
    <row r="294" customFormat="false" ht="5.1" hidden="false" customHeight="true" outlineLevel="0" collapsed="false">
      <c r="A294" s="167"/>
      <c r="B294" s="295"/>
      <c r="C294" s="142"/>
      <c r="D294" s="142"/>
      <c r="E294" s="105"/>
      <c r="F294" s="205"/>
      <c r="G294" s="142"/>
      <c r="H294" s="142"/>
      <c r="I294" s="142"/>
      <c r="J294" s="156"/>
      <c r="K294" s="142"/>
      <c r="L294" s="379"/>
      <c r="M294" s="471"/>
    </row>
    <row r="295" customFormat="false" ht="13.2" hidden="false" customHeight="true" outlineLevel="0" collapsed="false">
      <c r="A295" s="167"/>
      <c r="B295" s="295" t="s">
        <v>323</v>
      </c>
      <c r="C295" s="403" t="str">
        <f aca="false">IF(K262&gt;130,"-",IF(K262&lt;110,"-",IF(K262&lt;130,"X",0)))</f>
        <v>-</v>
      </c>
      <c r="D295" s="142"/>
      <c r="E295" s="470" t="str">
        <f aca="false">IF($C$49="X"," ",IF(C295="X",N295,IF(C295="-"," ",0)))</f>
        <v> </v>
      </c>
      <c r="F295" s="205" t="s">
        <v>324</v>
      </c>
      <c r="G295" s="403" t="str">
        <f aca="false">IF(K264&gt;50,"-",IF(K264&gt;45,"X","-"))</f>
        <v>-</v>
      </c>
      <c r="H295" s="142"/>
      <c r="I295" s="142"/>
      <c r="J295" s="469" t="str">
        <f aca="false">O295</f>
        <v> </v>
      </c>
      <c r="K295" s="475"/>
      <c r="L295" s="379"/>
      <c r="M295" s="471" t="n">
        <f aca="false">IF(E295=" ",0,IF(G293="x","9%",IF(G291="x","9%",IF(E295="8%","8%",0))))</f>
        <v>0</v>
      </c>
      <c r="N295" s="472" t="n">
        <v>0.08</v>
      </c>
      <c r="O295" s="425" t="str">
        <f aca="false">IF(E295&lt;&gt;" ",IF(K264&gt;50,P295,N295)," ")</f>
        <v> </v>
      </c>
      <c r="P295" s="472" t="n">
        <v>0.09</v>
      </c>
    </row>
    <row r="296" customFormat="false" ht="5.1" hidden="false" customHeight="true" outlineLevel="0" collapsed="false">
      <c r="A296" s="167"/>
      <c r="B296" s="295"/>
      <c r="C296" s="142"/>
      <c r="D296" s="142"/>
      <c r="E296" s="105"/>
      <c r="F296" s="205"/>
      <c r="G296" s="142"/>
      <c r="H296" s="142"/>
      <c r="I296" s="142"/>
      <c r="J296" s="156"/>
      <c r="K296" s="142"/>
      <c r="L296" s="379"/>
      <c r="M296" s="471"/>
    </row>
    <row r="297" customFormat="false" ht="13.2" hidden="false" customHeight="true" outlineLevel="0" collapsed="false">
      <c r="A297" s="167"/>
      <c r="B297" s="295" t="s">
        <v>325</v>
      </c>
      <c r="C297" s="403" t="str">
        <f aca="false">IF(K262&gt;110,"-",IF(K262&lt;95,"-",IF(K262&lt;110,"X",0)))</f>
        <v>-</v>
      </c>
      <c r="D297" s="142"/>
      <c r="E297" s="470" t="str">
        <f aca="false">IF($C$49="X"," ",IF(C297="X",N297,IF(C297="-"," ",0)))</f>
        <v> </v>
      </c>
      <c r="F297" s="205" t="s">
        <v>326</v>
      </c>
      <c r="G297" s="403" t="str">
        <f aca="false">IF(K264&gt;45,"-",IF(K264&gt;40,"X","-"))</f>
        <v>-</v>
      </c>
      <c r="H297" s="142"/>
      <c r="I297" s="142"/>
      <c r="J297" s="469" t="str">
        <f aca="false">O297</f>
        <v> </v>
      </c>
      <c r="K297" s="475"/>
      <c r="L297" s="379"/>
      <c r="M297" s="471" t="n">
        <f aca="false">IF(E297=" ",0,IF(G295="x","8%",IF(G293="x","8%",IF(G291="x","8%",IF(E297="7%","7%",0)))))</f>
        <v>0</v>
      </c>
      <c r="N297" s="472" t="n">
        <v>0.07</v>
      </c>
      <c r="O297" s="425" t="str">
        <f aca="false">IF(E297&lt;&gt;" ",IF(K264&gt;45,P297,N297)," ")</f>
        <v> </v>
      </c>
      <c r="P297" s="472" t="n">
        <v>0.08</v>
      </c>
    </row>
    <row r="298" customFormat="false" ht="5.1" hidden="false" customHeight="true" outlineLevel="0" collapsed="false">
      <c r="A298" s="167"/>
      <c r="B298" s="295"/>
      <c r="C298" s="142"/>
      <c r="D298" s="142"/>
      <c r="E298" s="105"/>
      <c r="F298" s="205"/>
      <c r="G298" s="142"/>
      <c r="H298" s="142"/>
      <c r="I298" s="142"/>
      <c r="J298" s="156"/>
      <c r="K298" s="142"/>
      <c r="L298" s="379"/>
      <c r="M298" s="474"/>
    </row>
    <row r="299" customFormat="false" ht="13.2" hidden="false" customHeight="true" outlineLevel="0" collapsed="false">
      <c r="A299" s="167"/>
      <c r="B299" s="295" t="s">
        <v>327</v>
      </c>
      <c r="C299" s="403" t="str">
        <f aca="false">IF(K262&lt;95,"X","-")</f>
        <v>X</v>
      </c>
      <c r="D299" s="142"/>
      <c r="E299" s="469" t="n">
        <f aca="false">IF($C$49="X"," ",IF(C299="X",N299,IF(C299="-"," ",0)))</f>
        <v>0.07</v>
      </c>
      <c r="F299" s="205" t="s">
        <v>328</v>
      </c>
      <c r="G299" s="403" t="str">
        <f aca="false">IF(K264&lt;=40,"X","-")</f>
        <v>X</v>
      </c>
      <c r="H299" s="142"/>
      <c r="I299" s="142"/>
      <c r="J299" s="469" t="n">
        <f aca="false">O299</f>
        <v>0.07</v>
      </c>
      <c r="K299" s="475"/>
      <c r="L299" s="379"/>
      <c r="M299" s="471" t="n">
        <f aca="false">IF(E299=" ",0,IF(G297="x","8%",IF(G295="x","8%",IF(G293="x","8%",IF(G291="x","8%",IF(E299="7%","7%",0))))))</f>
        <v>0</v>
      </c>
      <c r="N299" s="472" t="n">
        <v>0.07</v>
      </c>
      <c r="O299" s="472" t="n">
        <f aca="false">IF(E299&lt;&gt;" ",IF(K264&gt;40,P299,N299)," ")</f>
        <v>0.07</v>
      </c>
      <c r="P299" s="472" t="n">
        <v>0.08</v>
      </c>
    </row>
    <row r="300" customFormat="false" ht="5.1" hidden="false" customHeight="true" outlineLevel="0" collapsed="false">
      <c r="A300" s="167"/>
      <c r="B300" s="142"/>
      <c r="C300" s="142"/>
      <c r="D300" s="142"/>
      <c r="E300" s="105"/>
      <c r="K300" s="142"/>
      <c r="L300" s="379"/>
      <c r="M300" s="474"/>
    </row>
    <row r="301" customFormat="false" ht="13.2" hidden="false" customHeight="true" outlineLevel="0" collapsed="false">
      <c r="A301" s="167"/>
      <c r="B301" s="295" t="s">
        <v>329</v>
      </c>
      <c r="C301" s="476"/>
      <c r="D301" s="142"/>
      <c r="E301" s="475" t="str">
        <f aca="false">IF(C301="X",N301," ")</f>
        <v> </v>
      </c>
      <c r="J301" s="477" t="str">
        <f aca="false">E301</f>
        <v> </v>
      </c>
      <c r="K301" s="475" t="s">
        <v>330</v>
      </c>
      <c r="L301" s="379"/>
      <c r="M301" s="471" t="n">
        <f aca="false">IF(J301=" ",0,IF(J301="10%",0.1,0))</f>
        <v>0</v>
      </c>
      <c r="N301" s="472" t="n">
        <v>0.1</v>
      </c>
    </row>
    <row r="302" customFormat="false" ht="9" hidden="false" customHeight="true" outlineLevel="0" collapsed="false">
      <c r="A302" s="167"/>
      <c r="B302" s="142"/>
      <c r="C302" s="142"/>
      <c r="D302" s="142"/>
      <c r="E302" s="142"/>
      <c r="F302" s="142"/>
      <c r="G302" s="142"/>
      <c r="H302" s="142"/>
      <c r="I302" s="142"/>
      <c r="J302" s="142"/>
      <c r="K302" s="142"/>
      <c r="L302" s="379"/>
      <c r="M302" s="471" t="n">
        <f aca="false">M291+M293+M295+M297+M299+M301</f>
        <v>0</v>
      </c>
    </row>
    <row r="303" customFormat="false" ht="6" hidden="false" customHeight="true" outlineLevel="0" collapsed="false">
      <c r="A303" s="167"/>
      <c r="B303" s="142"/>
      <c r="C303" s="142"/>
      <c r="D303" s="142"/>
      <c r="E303" s="142"/>
      <c r="F303" s="142"/>
      <c r="G303" s="142"/>
      <c r="H303" s="142"/>
      <c r="I303" s="142"/>
      <c r="J303" s="142"/>
      <c r="K303" s="142"/>
      <c r="L303" s="379"/>
      <c r="M303" s="318"/>
    </row>
    <row r="304" customFormat="false" ht="12.75" hidden="false" customHeight="true" outlineLevel="0" collapsed="false">
      <c r="A304" s="167"/>
      <c r="B304" s="142" t="s">
        <v>331</v>
      </c>
      <c r="C304" s="142"/>
      <c r="D304" s="142"/>
      <c r="E304" s="142"/>
      <c r="F304" s="142"/>
      <c r="G304" s="476"/>
      <c r="H304" s="142"/>
      <c r="I304" s="142"/>
      <c r="J304" s="142"/>
      <c r="K304" s="142"/>
      <c r="L304" s="379"/>
      <c r="M304" s="318"/>
      <c r="N304" s="425" t="n">
        <f aca="false">IF(G304="X",1,0)</f>
        <v>0</v>
      </c>
    </row>
    <row r="305" customFormat="false" ht="6" hidden="false" customHeight="true" outlineLevel="0" collapsed="false">
      <c r="A305" s="167"/>
      <c r="B305" s="142"/>
      <c r="C305" s="142"/>
      <c r="D305" s="142"/>
      <c r="E305" s="142"/>
      <c r="F305" s="142"/>
      <c r="G305" s="295"/>
      <c r="H305" s="142"/>
      <c r="I305" s="142"/>
      <c r="J305" s="142"/>
      <c r="K305" s="142"/>
      <c r="L305" s="379"/>
      <c r="M305" s="318"/>
    </row>
    <row r="306" customFormat="false" ht="13.2" hidden="false" customHeight="true" outlineLevel="0" collapsed="false">
      <c r="A306" s="167"/>
      <c r="B306" s="142" t="s">
        <v>332</v>
      </c>
      <c r="C306" s="142"/>
      <c r="D306" s="142"/>
      <c r="E306" s="142"/>
      <c r="F306" s="142"/>
      <c r="G306" s="476" t="s">
        <v>238</v>
      </c>
      <c r="H306" s="142"/>
      <c r="I306" s="142"/>
      <c r="J306" s="142"/>
      <c r="K306" s="142"/>
      <c r="L306" s="379"/>
      <c r="M306" s="318"/>
      <c r="N306" s="425" t="n">
        <f aca="false">IF(G306="X",1,0)</f>
        <v>0</v>
      </c>
    </row>
    <row r="307" customFormat="false" ht="5.1" hidden="false" customHeight="true" outlineLevel="0" collapsed="false">
      <c r="A307" s="167"/>
      <c r="B307" s="142"/>
      <c r="C307" s="142"/>
      <c r="D307" s="142"/>
      <c r="E307" s="142"/>
      <c r="F307" s="142"/>
      <c r="G307" s="295"/>
      <c r="H307" s="142"/>
      <c r="I307" s="142"/>
      <c r="J307" s="142"/>
      <c r="K307" s="142"/>
      <c r="L307" s="379"/>
      <c r="M307" s="318"/>
    </row>
    <row r="308" customFormat="false" ht="12.75" hidden="false" customHeight="true" outlineLevel="0" collapsed="false">
      <c r="A308" s="167"/>
      <c r="B308" s="142" t="s">
        <v>333</v>
      </c>
      <c r="C308" s="142"/>
      <c r="D308" s="142"/>
      <c r="E308" s="142"/>
      <c r="F308" s="142"/>
      <c r="G308" s="476"/>
      <c r="H308" s="142"/>
      <c r="I308" s="142"/>
      <c r="J308" s="142"/>
      <c r="K308" s="142"/>
      <c r="L308" s="379"/>
      <c r="M308" s="318"/>
      <c r="N308" s="425" t="n">
        <f aca="false">IF(G308="X",1,0)</f>
        <v>0</v>
      </c>
    </row>
    <row r="309" customFormat="false" ht="4.5" hidden="false" customHeight="true" outlineLevel="0" collapsed="false">
      <c r="A309" s="167"/>
      <c r="B309" s="142"/>
      <c r="C309" s="142"/>
      <c r="D309" s="142"/>
      <c r="E309" s="142"/>
      <c r="F309" s="142"/>
      <c r="G309" s="142"/>
      <c r="H309" s="142"/>
      <c r="I309" s="142"/>
      <c r="J309" s="142"/>
      <c r="K309" s="142"/>
      <c r="L309" s="379"/>
      <c r="M309" s="318"/>
    </row>
    <row r="310" customFormat="false" ht="15" hidden="false" customHeight="true" outlineLevel="0" collapsed="false">
      <c r="A310" s="167"/>
      <c r="B310" s="142" t="s">
        <v>334</v>
      </c>
      <c r="C310" s="142"/>
      <c r="D310" s="142"/>
      <c r="E310" s="142"/>
      <c r="F310" s="142"/>
      <c r="G310" s="142"/>
      <c r="H310" s="142"/>
      <c r="I310" s="142"/>
      <c r="J310" s="142"/>
      <c r="K310" s="478" t="n">
        <f aca="false">IF(N310&gt;0,O310-0.01,O310)</f>
        <v>0.07</v>
      </c>
      <c r="L310" s="478"/>
      <c r="M310" s="318"/>
      <c r="N310" s="425" t="n">
        <f aca="false">N304+N306+N308</f>
        <v>0</v>
      </c>
      <c r="O310" s="473" t="n">
        <f aca="false">IF(J301&lt;&gt;" ",J301,P287)</f>
        <v>0.07</v>
      </c>
    </row>
    <row r="311" customFormat="false" ht="4.5" hidden="false" customHeight="true" outlineLevel="0" collapsed="false">
      <c r="A311" s="167"/>
      <c r="B311" s="142"/>
      <c r="C311" s="142"/>
      <c r="D311" s="142"/>
      <c r="E311" s="142"/>
      <c r="F311" s="142"/>
      <c r="G311" s="142"/>
      <c r="H311" s="142"/>
      <c r="I311" s="142"/>
      <c r="J311" s="142"/>
      <c r="K311" s="142"/>
      <c r="L311" s="379"/>
      <c r="M311" s="318"/>
    </row>
    <row r="312" customFormat="false" ht="4.5" hidden="false" customHeight="true" outlineLevel="0" collapsed="false">
      <c r="A312" s="167"/>
      <c r="B312" s="142"/>
      <c r="C312" s="142"/>
      <c r="D312" s="142"/>
      <c r="E312" s="142"/>
      <c r="F312" s="142"/>
      <c r="G312" s="142"/>
      <c r="H312" s="142"/>
      <c r="I312" s="142"/>
      <c r="J312" s="142"/>
      <c r="K312" s="142"/>
      <c r="L312" s="379"/>
      <c r="M312" s="318"/>
    </row>
    <row r="313" customFormat="false" ht="12.75" hidden="false" customHeight="true" outlineLevel="0" collapsed="false">
      <c r="A313" s="467" t="s">
        <v>335</v>
      </c>
      <c r="B313" s="467"/>
      <c r="C313" s="467"/>
      <c r="D313" s="467"/>
      <c r="E313" s="467"/>
      <c r="F313" s="467"/>
      <c r="G313" s="467"/>
      <c r="H313" s="467"/>
      <c r="I313" s="467"/>
      <c r="J313" s="467"/>
      <c r="K313" s="467"/>
      <c r="L313" s="467"/>
      <c r="M313" s="318"/>
    </row>
    <row r="314" customFormat="false" ht="6" hidden="false" customHeight="true" outlineLevel="0" collapsed="false">
      <c r="A314" s="167"/>
      <c r="B314" s="142"/>
      <c r="C314" s="142"/>
      <c r="D314" s="142"/>
      <c r="E314" s="142"/>
      <c r="F314" s="142"/>
      <c r="G314" s="142"/>
      <c r="H314" s="142"/>
      <c r="I314" s="142"/>
      <c r="J314" s="142"/>
      <c r="K314" s="142"/>
      <c r="L314" s="379"/>
      <c r="M314" s="318"/>
    </row>
    <row r="315" customFormat="false" ht="18" hidden="false" customHeight="true" outlineLevel="0" collapsed="false">
      <c r="A315" s="167"/>
      <c r="B315" s="142" t="s">
        <v>336</v>
      </c>
      <c r="C315" s="142"/>
      <c r="D315" s="142"/>
      <c r="E315" s="142"/>
      <c r="F315" s="142"/>
      <c r="G315" s="142"/>
      <c r="H315" s="142" t="s">
        <v>169</v>
      </c>
      <c r="I315" s="479" t="n">
        <f aca="false">K281</f>
        <v>0</v>
      </c>
      <c r="J315" s="479"/>
      <c r="K315" s="479"/>
      <c r="L315" s="479"/>
      <c r="M315" s="318"/>
    </row>
    <row r="316" customFormat="false" ht="5.1" hidden="false" customHeight="true" outlineLevel="0" collapsed="false">
      <c r="A316" s="167"/>
      <c r="B316" s="142"/>
      <c r="C316" s="142"/>
      <c r="D316" s="142"/>
      <c r="E316" s="142"/>
      <c r="F316" s="142"/>
      <c r="G316" s="142"/>
      <c r="H316" s="142"/>
      <c r="I316" s="142"/>
      <c r="J316" s="142"/>
      <c r="K316" s="142"/>
      <c r="L316" s="379"/>
      <c r="M316" s="318"/>
    </row>
    <row r="317" customFormat="false" ht="18" hidden="false" customHeight="true" outlineLevel="0" collapsed="false">
      <c r="A317" s="167"/>
      <c r="B317" s="142" t="s">
        <v>337</v>
      </c>
      <c r="C317" s="142"/>
      <c r="D317" s="142"/>
      <c r="E317" s="142"/>
      <c r="F317" s="142"/>
      <c r="G317" s="142"/>
      <c r="H317" s="142" t="s">
        <v>338</v>
      </c>
      <c r="I317" s="480" t="n">
        <f aca="false">K310</f>
        <v>0.07</v>
      </c>
      <c r="J317" s="480"/>
      <c r="K317" s="480"/>
      <c r="L317" s="480"/>
      <c r="M317" s="318"/>
    </row>
    <row r="318" customFormat="false" ht="5.1" hidden="false" customHeight="true" outlineLevel="0" collapsed="false">
      <c r="A318" s="167"/>
      <c r="B318" s="142"/>
      <c r="C318" s="142"/>
      <c r="D318" s="142"/>
      <c r="E318" s="142"/>
      <c r="F318" s="142"/>
      <c r="G318" s="142"/>
      <c r="H318" s="142"/>
      <c r="I318" s="142"/>
      <c r="J318" s="142"/>
      <c r="K318" s="142"/>
      <c r="L318" s="379"/>
      <c r="M318" s="318"/>
    </row>
    <row r="319" customFormat="false" ht="18" hidden="false" customHeight="true" outlineLevel="0" collapsed="false">
      <c r="A319" s="481"/>
      <c r="B319" s="197" t="s">
        <v>339</v>
      </c>
      <c r="C319" s="197"/>
      <c r="D319" s="197"/>
      <c r="E319" s="197"/>
      <c r="F319" s="197"/>
      <c r="G319" s="197"/>
      <c r="H319" s="197" t="s">
        <v>169</v>
      </c>
      <c r="I319" s="482" t="n">
        <f aca="false">I315*I317</f>
        <v>0</v>
      </c>
      <c r="J319" s="482"/>
      <c r="K319" s="482"/>
      <c r="L319" s="482"/>
      <c r="M319" s="318"/>
    </row>
    <row r="320" s="112" customFormat="true" ht="28.35" hidden="false" customHeight="true" outlineLevel="0" collapsed="false">
      <c r="A320" s="483"/>
      <c r="B320" s="484"/>
      <c r="C320" s="484"/>
      <c r="D320" s="484"/>
      <c r="E320" s="484"/>
      <c r="F320" s="484"/>
      <c r="G320" s="484"/>
      <c r="H320" s="484"/>
      <c r="I320" s="484"/>
      <c r="J320" s="484"/>
      <c r="K320" s="484"/>
      <c r="L320" s="485"/>
      <c r="M320" s="430"/>
      <c r="N320" s="118"/>
      <c r="O320" s="118"/>
      <c r="P320" s="118"/>
      <c r="Q320" s="118"/>
      <c r="R320" s="118"/>
    </row>
    <row r="321" s="112" customFormat="true" ht="18" hidden="false" customHeight="true" outlineLevel="0" collapsed="false">
      <c r="A321" s="432" t="s">
        <v>341</v>
      </c>
      <c r="B321" s="209"/>
      <c r="C321" s="209"/>
      <c r="D321" s="209"/>
      <c r="E321" s="209"/>
      <c r="F321" s="434" t="s">
        <v>162</v>
      </c>
      <c r="G321" s="211"/>
      <c r="H321" s="211"/>
      <c r="I321" s="123"/>
      <c r="J321" s="436"/>
      <c r="K321" s="434" t="s">
        <v>297</v>
      </c>
      <c r="L321" s="437"/>
      <c r="M321" s="430"/>
      <c r="N321" s="118"/>
      <c r="O321" s="118"/>
      <c r="P321" s="118"/>
      <c r="Q321" s="118"/>
      <c r="R321" s="118"/>
    </row>
    <row r="322" s="112" customFormat="true" ht="9.75" hidden="false" customHeight="true" outlineLevel="0" collapsed="false">
      <c r="A322" s="438"/>
      <c r="B322" s="439"/>
      <c r="C322" s="440"/>
      <c r="D322" s="440"/>
      <c r="E322" s="123"/>
      <c r="F322" s="440"/>
      <c r="G322" s="434"/>
      <c r="H322" s="440"/>
      <c r="I322" s="123"/>
      <c r="J322" s="434"/>
      <c r="K322" s="441"/>
      <c r="L322" s="488"/>
      <c r="M322" s="430"/>
      <c r="N322" s="118"/>
      <c r="O322" s="118"/>
      <c r="P322" s="118"/>
      <c r="Q322" s="118"/>
      <c r="R322" s="118"/>
    </row>
    <row r="323" customFormat="false" ht="13.2" hidden="false" customHeight="true" outlineLevel="0" collapsed="false">
      <c r="A323" s="442" t="s">
        <v>298</v>
      </c>
      <c r="B323" s="442"/>
      <c r="C323" s="442"/>
      <c r="D323" s="442"/>
      <c r="E323" s="442"/>
      <c r="F323" s="442"/>
      <c r="G323" s="442"/>
      <c r="H323" s="442"/>
      <c r="I323" s="442"/>
      <c r="J323" s="442"/>
      <c r="K323" s="442"/>
      <c r="L323" s="442"/>
      <c r="M323" s="318"/>
    </row>
    <row r="324" customFormat="false" ht="9" hidden="false" customHeight="true" outlineLevel="0" collapsed="false">
      <c r="A324" s="443"/>
      <c r="B324" s="444"/>
      <c r="C324" s="101"/>
      <c r="D324" s="101"/>
      <c r="E324" s="101"/>
      <c r="F324" s="101"/>
      <c r="G324" s="101"/>
      <c r="H324" s="101"/>
      <c r="I324" s="101"/>
      <c r="J324" s="101"/>
      <c r="K324" s="101"/>
      <c r="L324" s="445"/>
    </row>
    <row r="325" customFormat="false" ht="12.75" hidden="false" customHeight="true" outlineLevel="0" collapsed="false">
      <c r="A325" s="443"/>
      <c r="B325" s="446" t="s">
        <v>299</v>
      </c>
      <c r="C325" s="101"/>
      <c r="D325" s="101"/>
      <c r="E325" s="101"/>
      <c r="F325" s="101"/>
      <c r="G325" s="101"/>
      <c r="H325" s="101"/>
      <c r="I325" s="101"/>
      <c r="J325" s="101"/>
      <c r="K325" s="447"/>
      <c r="L325" s="448"/>
    </row>
    <row r="326" customFormat="false" ht="9" hidden="false" customHeight="true" outlineLevel="0" collapsed="false">
      <c r="A326" s="443"/>
      <c r="B326" s="444"/>
      <c r="C326" s="101"/>
      <c r="D326" s="101"/>
      <c r="E326" s="101"/>
      <c r="F326" s="101"/>
      <c r="G326" s="101"/>
      <c r="H326" s="101"/>
      <c r="I326" s="101"/>
      <c r="J326" s="101"/>
      <c r="K326" s="449"/>
      <c r="L326" s="448"/>
    </row>
    <row r="327" customFormat="false" ht="12.75" hidden="false" customHeight="true" outlineLevel="0" collapsed="false">
      <c r="A327" s="443"/>
      <c r="B327" s="446" t="s">
        <v>300</v>
      </c>
      <c r="C327" s="101"/>
      <c r="D327" s="101"/>
      <c r="E327" s="101"/>
      <c r="F327" s="101"/>
      <c r="G327" s="101"/>
      <c r="H327" s="101"/>
      <c r="I327" s="101"/>
      <c r="J327" s="101"/>
      <c r="K327" s="447"/>
      <c r="L327" s="448"/>
    </row>
    <row r="328" customFormat="false" ht="6.75" hidden="false" customHeight="true" outlineLevel="0" collapsed="false">
      <c r="A328" s="443"/>
      <c r="B328" s="444"/>
      <c r="C328" s="101"/>
      <c r="D328" s="101"/>
      <c r="E328" s="101"/>
      <c r="F328" s="101"/>
      <c r="G328" s="101"/>
      <c r="H328" s="101"/>
      <c r="I328" s="101"/>
      <c r="J328" s="101"/>
      <c r="K328" s="101"/>
      <c r="L328" s="450"/>
    </row>
    <row r="329" customFormat="false" ht="12.75" hidden="false" customHeight="true" outlineLevel="0" collapsed="false">
      <c r="A329" s="443" t="s">
        <v>301</v>
      </c>
      <c r="B329" s="101" t="s">
        <v>302</v>
      </c>
      <c r="C329" s="101"/>
      <c r="D329" s="101"/>
      <c r="E329" s="101"/>
      <c r="F329" s="101"/>
      <c r="G329" s="101"/>
      <c r="H329" s="101"/>
      <c r="I329" s="101"/>
      <c r="J329" s="444" t="s">
        <v>205</v>
      </c>
      <c r="K329" s="447"/>
      <c r="L329" s="448"/>
      <c r="M329" s="318"/>
    </row>
    <row r="330" customFormat="false" ht="9" hidden="false" customHeight="true" outlineLevel="0" collapsed="false">
      <c r="A330" s="443"/>
      <c r="B330" s="101"/>
      <c r="C330" s="101"/>
      <c r="D330" s="101"/>
      <c r="E330" s="101"/>
      <c r="F330" s="101"/>
      <c r="G330" s="101"/>
      <c r="H330" s="101"/>
      <c r="I330" s="101"/>
      <c r="J330" s="444"/>
      <c r="K330" s="101"/>
      <c r="L330" s="450"/>
      <c r="M330" s="318"/>
    </row>
    <row r="331" customFormat="false" ht="12.75" hidden="false" customHeight="true" outlineLevel="0" collapsed="false">
      <c r="A331" s="443"/>
      <c r="B331" s="451" t="s">
        <v>303</v>
      </c>
      <c r="C331" s="451"/>
      <c r="D331" s="451"/>
      <c r="E331" s="101"/>
      <c r="F331" s="101"/>
      <c r="G331" s="101"/>
      <c r="H331" s="101"/>
      <c r="I331" s="101"/>
      <c r="J331" s="444"/>
      <c r="K331" s="101"/>
      <c r="L331" s="452"/>
      <c r="M331" s="318"/>
    </row>
    <row r="332" customFormat="false" ht="12.75" hidden="false" customHeight="true" outlineLevel="0" collapsed="false">
      <c r="A332" s="453" t="s">
        <v>304</v>
      </c>
      <c r="B332" s="451"/>
      <c r="C332" s="451"/>
      <c r="D332" s="451"/>
      <c r="E332" s="101" t="s">
        <v>205</v>
      </c>
      <c r="F332" s="454"/>
      <c r="G332" s="444" t="s">
        <v>305</v>
      </c>
      <c r="H332" s="101" t="n">
        <v>0.6</v>
      </c>
      <c r="I332" s="101" t="s">
        <v>306</v>
      </c>
      <c r="J332" s="444" t="s">
        <v>205</v>
      </c>
      <c r="K332" s="455" t="n">
        <f aca="false">IF(F332&gt;0,F332*H332,0)</f>
        <v>0</v>
      </c>
      <c r="L332" s="456"/>
      <c r="M332" s="318"/>
    </row>
    <row r="333" customFormat="false" ht="6" hidden="false" customHeight="true" outlineLevel="0" collapsed="false">
      <c r="A333" s="443"/>
      <c r="B333" s="101"/>
      <c r="C333" s="101"/>
      <c r="D333" s="101"/>
      <c r="E333" s="101"/>
      <c r="F333" s="101"/>
      <c r="G333" s="101"/>
      <c r="H333" s="101"/>
      <c r="I333" s="101"/>
      <c r="J333" s="444"/>
      <c r="K333" s="101"/>
      <c r="L333" s="450"/>
      <c r="M333" s="318"/>
    </row>
    <row r="334" customFormat="false" ht="13.2" hidden="false" customHeight="true" outlineLevel="0" collapsed="false">
      <c r="A334" s="443"/>
      <c r="B334" s="101"/>
      <c r="C334" s="101"/>
      <c r="D334" s="101"/>
      <c r="E334" s="101"/>
      <c r="F334" s="101"/>
      <c r="G334" s="101"/>
      <c r="H334" s="101"/>
      <c r="I334" s="101"/>
      <c r="J334" s="444"/>
      <c r="K334" s="101"/>
      <c r="L334" s="450"/>
      <c r="M334" s="318"/>
    </row>
    <row r="335" customFormat="false" ht="12.75" hidden="false" customHeight="true" outlineLevel="0" collapsed="false">
      <c r="A335" s="443"/>
      <c r="B335" s="157"/>
      <c r="C335" s="101"/>
      <c r="D335" s="101"/>
      <c r="E335" s="101"/>
      <c r="F335" s="101"/>
      <c r="G335" s="101"/>
      <c r="H335" s="101"/>
      <c r="I335" s="101"/>
      <c r="J335" s="444"/>
      <c r="K335" s="457"/>
      <c r="L335" s="448"/>
      <c r="M335" s="318"/>
    </row>
    <row r="336" customFormat="false" ht="8.25" hidden="false" customHeight="true" outlineLevel="0" collapsed="false">
      <c r="A336" s="443"/>
      <c r="B336" s="157"/>
      <c r="C336" s="101"/>
      <c r="D336" s="101"/>
      <c r="E336" s="101"/>
      <c r="F336" s="101"/>
      <c r="G336" s="101"/>
      <c r="H336" s="101"/>
      <c r="I336" s="101"/>
      <c r="J336" s="444"/>
      <c r="K336" s="101"/>
      <c r="L336" s="450"/>
      <c r="M336" s="318"/>
    </row>
    <row r="337" customFormat="false" ht="12.75" hidden="false" customHeight="true" outlineLevel="0" collapsed="false">
      <c r="A337" s="443" t="s">
        <v>307</v>
      </c>
      <c r="B337" s="101" t="s">
        <v>308</v>
      </c>
      <c r="C337" s="101"/>
      <c r="D337" s="101"/>
      <c r="E337" s="101"/>
      <c r="F337" s="101"/>
      <c r="G337" s="101"/>
      <c r="H337" s="101"/>
      <c r="I337" s="101"/>
      <c r="J337" s="444" t="s">
        <v>205</v>
      </c>
      <c r="K337" s="458" t="n">
        <f aca="false">K329+K332+K335</f>
        <v>0</v>
      </c>
      <c r="L337" s="459"/>
      <c r="M337" s="318"/>
    </row>
    <row r="338" customFormat="false" ht="8.25" hidden="false" customHeight="true" outlineLevel="0" collapsed="false">
      <c r="A338" s="443"/>
      <c r="B338" s="101"/>
      <c r="C338" s="101"/>
      <c r="D338" s="101"/>
      <c r="E338" s="101"/>
      <c r="F338" s="101"/>
      <c r="G338" s="101"/>
      <c r="H338" s="101"/>
      <c r="I338" s="101"/>
      <c r="J338" s="444"/>
      <c r="K338" s="101"/>
      <c r="L338" s="450"/>
      <c r="M338" s="318"/>
    </row>
    <row r="339" customFormat="false" ht="13.2" hidden="false" customHeight="true" outlineLevel="0" collapsed="false">
      <c r="A339" s="443" t="s">
        <v>309</v>
      </c>
      <c r="B339" s="101" t="s">
        <v>310</v>
      </c>
      <c r="C339" s="101"/>
      <c r="D339" s="101"/>
      <c r="E339" s="101"/>
      <c r="F339" s="101"/>
      <c r="G339" s="101"/>
      <c r="H339" s="101"/>
      <c r="I339" s="101"/>
      <c r="J339" s="444"/>
      <c r="K339" s="101"/>
      <c r="L339" s="450"/>
      <c r="M339" s="318"/>
    </row>
    <row r="340" customFormat="false" ht="12.75" hidden="false" customHeight="true" outlineLevel="0" collapsed="false">
      <c r="A340" s="443"/>
      <c r="B340" s="157" t="s">
        <v>311</v>
      </c>
      <c r="C340" s="101"/>
      <c r="D340" s="101"/>
      <c r="E340" s="101"/>
      <c r="F340" s="101"/>
      <c r="G340" s="101"/>
      <c r="H340" s="101"/>
      <c r="I340" s="101"/>
      <c r="J340" s="444" t="s">
        <v>206</v>
      </c>
      <c r="K340" s="455" t="n">
        <f aca="false">('costo-mq'!$O$82)/2</f>
        <v>156.36555</v>
      </c>
      <c r="L340" s="456"/>
    </row>
    <row r="341" customFormat="false" ht="6" hidden="false" customHeight="true" outlineLevel="0" collapsed="false">
      <c r="A341" s="443"/>
      <c r="B341" s="101"/>
      <c r="C341" s="101"/>
      <c r="D341" s="101"/>
      <c r="E341" s="101"/>
      <c r="F341" s="101"/>
      <c r="G341" s="101"/>
      <c r="H341" s="101"/>
      <c r="I341" s="101"/>
      <c r="J341" s="444"/>
      <c r="K341" s="154"/>
      <c r="L341" s="460"/>
      <c r="M341" s="318"/>
    </row>
    <row r="342" customFormat="false" ht="18" hidden="false" customHeight="true" outlineLevel="0" collapsed="false">
      <c r="A342" s="443"/>
      <c r="B342" s="101"/>
      <c r="C342" s="101"/>
      <c r="D342" s="101"/>
      <c r="E342" s="101"/>
      <c r="F342" s="101"/>
      <c r="G342" s="101"/>
      <c r="H342" s="461"/>
      <c r="I342" s="101"/>
      <c r="J342" s="444"/>
      <c r="K342" s="154"/>
      <c r="L342" s="460"/>
      <c r="M342" s="462"/>
    </row>
    <row r="343" customFormat="false" ht="6" hidden="false" customHeight="true" outlineLevel="0" collapsed="false">
      <c r="A343" s="443"/>
      <c r="B343" s="101"/>
      <c r="C343" s="101"/>
      <c r="D343" s="101"/>
      <c r="E343" s="101"/>
      <c r="F343" s="101"/>
      <c r="G343" s="101"/>
      <c r="H343" s="101"/>
      <c r="I343" s="101"/>
      <c r="J343" s="444"/>
      <c r="K343" s="154"/>
      <c r="L343" s="463"/>
      <c r="M343" s="318"/>
    </row>
    <row r="344" customFormat="false" ht="12.75" hidden="false" customHeight="true" outlineLevel="0" collapsed="false">
      <c r="A344" s="443" t="s">
        <v>312</v>
      </c>
      <c r="B344" s="464" t="s">
        <v>313</v>
      </c>
      <c r="C344" s="465"/>
      <c r="D344" s="465"/>
      <c r="E344" s="465"/>
      <c r="F344" s="465"/>
      <c r="G344" s="465"/>
      <c r="H344" s="465"/>
      <c r="I344" s="465"/>
      <c r="J344" s="466" t="s">
        <v>169</v>
      </c>
      <c r="K344" s="458" t="n">
        <f aca="false">K337*K340</f>
        <v>0</v>
      </c>
      <c r="L344" s="459"/>
      <c r="M344" s="318"/>
    </row>
    <row r="345" customFormat="false" ht="13.2" hidden="false" customHeight="true" outlineLevel="0" collapsed="false">
      <c r="A345" s="167"/>
      <c r="B345" s="142"/>
      <c r="C345" s="142"/>
      <c r="D345" s="142"/>
      <c r="E345" s="142"/>
      <c r="F345" s="142"/>
      <c r="G345" s="142"/>
      <c r="H345" s="142"/>
      <c r="I345" s="142"/>
      <c r="J345" s="142"/>
      <c r="K345" s="142"/>
      <c r="L345" s="379"/>
      <c r="M345" s="318"/>
    </row>
    <row r="346" customFormat="false" ht="5.1" hidden="false" customHeight="true" outlineLevel="0" collapsed="false">
      <c r="A346" s="167"/>
      <c r="B346" s="142"/>
      <c r="C346" s="142"/>
      <c r="D346" s="142"/>
      <c r="E346" s="142"/>
      <c r="F346" s="142"/>
      <c r="G346" s="142"/>
      <c r="H346" s="142"/>
      <c r="I346" s="142"/>
      <c r="J346" s="142"/>
      <c r="K346" s="142"/>
      <c r="L346" s="379"/>
      <c r="M346" s="318"/>
    </row>
    <row r="347" customFormat="false" ht="13.2" hidden="false" customHeight="true" outlineLevel="0" collapsed="false">
      <c r="A347" s="467" t="s">
        <v>314</v>
      </c>
      <c r="B347" s="467"/>
      <c r="C347" s="467"/>
      <c r="D347" s="467"/>
      <c r="E347" s="467"/>
      <c r="F347" s="467"/>
      <c r="G347" s="467"/>
      <c r="H347" s="467"/>
      <c r="I347" s="467"/>
      <c r="J347" s="467"/>
      <c r="K347" s="467"/>
      <c r="L347" s="467"/>
      <c r="M347" s="318"/>
    </row>
    <row r="348" customFormat="false" ht="5.1" hidden="false" customHeight="true" outlineLevel="0" collapsed="false">
      <c r="A348" s="167"/>
      <c r="B348" s="142"/>
      <c r="C348" s="142"/>
      <c r="D348" s="142"/>
      <c r="E348" s="142"/>
      <c r="F348" s="142"/>
      <c r="G348" s="142"/>
      <c r="H348" s="142"/>
      <c r="I348" s="142"/>
      <c r="J348" s="142"/>
      <c r="K348" s="142"/>
      <c r="L348" s="379"/>
      <c r="M348" s="318"/>
    </row>
    <row r="349" customFormat="false" ht="16.5" hidden="false" customHeight="true" outlineLevel="0" collapsed="false">
      <c r="A349" s="167"/>
      <c r="B349" s="352" t="s">
        <v>225</v>
      </c>
      <c r="C349" s="142"/>
      <c r="D349" s="383" t="s">
        <v>315</v>
      </c>
      <c r="E349" s="383"/>
      <c r="F349" s="388" t="s">
        <v>316</v>
      </c>
      <c r="G349" s="142"/>
      <c r="H349" s="142"/>
      <c r="I349" s="383" t="s">
        <v>317</v>
      </c>
      <c r="J349" s="383"/>
      <c r="K349" s="383"/>
      <c r="L349" s="379"/>
      <c r="M349" s="318"/>
    </row>
    <row r="350" customFormat="false" ht="11.25" hidden="false" customHeight="true" outlineLevel="0" collapsed="false">
      <c r="A350" s="167"/>
      <c r="B350" s="142"/>
      <c r="C350" s="142"/>
      <c r="D350" s="383"/>
      <c r="E350" s="383"/>
      <c r="F350" s="355"/>
      <c r="G350" s="142"/>
      <c r="H350" s="142"/>
      <c r="I350" s="383"/>
      <c r="J350" s="383"/>
      <c r="K350" s="383"/>
      <c r="L350" s="379"/>
      <c r="M350" s="318"/>
      <c r="N350" s="468" t="n">
        <f aca="false">SUM(E354:E364)</f>
        <v>0.07</v>
      </c>
      <c r="P350" s="468" t="n">
        <f aca="false">SUM(J352:J364)</f>
        <v>0.07</v>
      </c>
    </row>
    <row r="351" customFormat="false" ht="6" hidden="false" customHeight="true" outlineLevel="0" collapsed="false">
      <c r="A351" s="167"/>
      <c r="B351" s="142"/>
      <c r="C351" s="142"/>
      <c r="D351" s="383"/>
      <c r="E351" s="383"/>
      <c r="F351" s="355"/>
      <c r="G351" s="142"/>
      <c r="H351" s="142"/>
      <c r="I351" s="383"/>
      <c r="J351" s="383"/>
      <c r="K351" s="383"/>
      <c r="L351" s="379"/>
      <c r="M351" s="318"/>
    </row>
    <row r="352" customFormat="false" ht="13.5" hidden="false" customHeight="true" outlineLevel="0" collapsed="false">
      <c r="A352" s="167"/>
      <c r="B352" s="142"/>
      <c r="C352" s="142"/>
      <c r="D352" s="383"/>
      <c r="E352" s="383"/>
      <c r="F352" s="205" t="s">
        <v>318</v>
      </c>
      <c r="G352" s="403" t="str">
        <f aca="false">IF(K327&gt;60,"X","-")</f>
        <v>-</v>
      </c>
      <c r="H352" s="142"/>
      <c r="I352" s="142"/>
      <c r="J352" s="469"/>
      <c r="K352" s="383"/>
      <c r="L352" s="379"/>
      <c r="M352" s="318"/>
    </row>
    <row r="353" customFormat="false" ht="6" hidden="false" customHeight="true" outlineLevel="0" collapsed="false">
      <c r="A353" s="167"/>
      <c r="B353" s="142"/>
      <c r="C353" s="142"/>
      <c r="D353" s="142"/>
      <c r="E353" s="142"/>
      <c r="K353" s="142"/>
      <c r="L353" s="379"/>
      <c r="M353" s="318"/>
    </row>
    <row r="354" customFormat="false" ht="13.2" hidden="false" customHeight="true" outlineLevel="0" collapsed="false">
      <c r="A354" s="167"/>
      <c r="B354" s="295" t="s">
        <v>319</v>
      </c>
      <c r="C354" s="403" t="str">
        <f aca="false">IF(K325&gt;160,"X","-")</f>
        <v>-</v>
      </c>
      <c r="D354" s="142"/>
      <c r="E354" s="470" t="str">
        <f aca="false">IF($C$49="X"," ",IF(C354="X",N354,IF(C354="-"," ",0)))</f>
        <v> </v>
      </c>
      <c r="F354" s="205" t="s">
        <v>320</v>
      </c>
      <c r="G354" s="403" t="str">
        <f aca="false">IF(K327&gt;60,"-",IF(K327&gt;55,"X","-"))</f>
        <v>-</v>
      </c>
      <c r="H354" s="142"/>
      <c r="I354" s="142"/>
      <c r="J354" s="469" t="str">
        <f aca="false">O354</f>
        <v> </v>
      </c>
      <c r="L354" s="379"/>
      <c r="M354" s="471" t="n">
        <f aca="false">IF(E354=" ",0,IF(G354="x","9%",IF(G352="x","10%",0)))</f>
        <v>0</v>
      </c>
      <c r="N354" s="472" t="n">
        <v>0.09</v>
      </c>
      <c r="O354" s="473" t="str">
        <f aca="false">IF(E354&lt;&gt;" ",IF(K327&gt;60,P354,N354)," ")</f>
        <v> </v>
      </c>
      <c r="P354" s="472" t="n">
        <v>0.1</v>
      </c>
    </row>
    <row r="355" customFormat="false" ht="6" hidden="false" customHeight="true" outlineLevel="0" collapsed="false">
      <c r="A355" s="167"/>
      <c r="B355" s="295"/>
      <c r="C355" s="142"/>
      <c r="D355" s="142"/>
      <c r="E355" s="105"/>
      <c r="F355" s="205"/>
      <c r="G355" s="142"/>
      <c r="H355" s="142"/>
      <c r="I355" s="142"/>
      <c r="J355" s="156"/>
      <c r="L355" s="379"/>
      <c r="M355" s="474"/>
    </row>
    <row r="356" customFormat="false" ht="12.75" hidden="false" customHeight="true" outlineLevel="0" collapsed="false">
      <c r="A356" s="167"/>
      <c r="B356" s="295" t="s">
        <v>321</v>
      </c>
      <c r="C356" s="403" t="str">
        <f aca="false">IF(K325&gt;160,"-",IF(K325&lt;130,"-",IF(K325&lt;160,"X",0)))</f>
        <v>-</v>
      </c>
      <c r="D356" s="142"/>
      <c r="E356" s="470" t="str">
        <f aca="false">IF($C$49="X"," ",IF(C356="X",N356,IF(C356="-"," ",0)))</f>
        <v> </v>
      </c>
      <c r="F356" s="205" t="s">
        <v>322</v>
      </c>
      <c r="G356" s="403" t="str">
        <f aca="false">IF(K327&gt;55,"-",IF(K327&gt;50,"X","-"))</f>
        <v>-</v>
      </c>
      <c r="H356" s="142"/>
      <c r="I356" s="142"/>
      <c r="J356" s="469" t="str">
        <f aca="false">O356</f>
        <v> </v>
      </c>
      <c r="K356" s="475"/>
      <c r="L356" s="379"/>
      <c r="M356" s="471" t="n">
        <f aca="false">IF(E356=" ",0,IF(G354="x","9%",IF(E354="-","8%",0)))</f>
        <v>0</v>
      </c>
      <c r="N356" s="472" t="n">
        <v>0.08</v>
      </c>
      <c r="O356" s="425" t="str">
        <f aca="false">IF(E356&lt;&gt;" ",IF(K327&gt;55,P356,N356)," ")</f>
        <v> </v>
      </c>
      <c r="P356" s="472" t="n">
        <v>0.09</v>
      </c>
    </row>
    <row r="357" customFormat="false" ht="5.1" hidden="false" customHeight="true" outlineLevel="0" collapsed="false">
      <c r="A357" s="167"/>
      <c r="B357" s="295"/>
      <c r="C357" s="142"/>
      <c r="D357" s="142"/>
      <c r="E357" s="105"/>
      <c r="F357" s="205"/>
      <c r="G357" s="142"/>
      <c r="H357" s="142"/>
      <c r="I357" s="142"/>
      <c r="J357" s="156"/>
      <c r="K357" s="142"/>
      <c r="L357" s="379"/>
      <c r="M357" s="471"/>
    </row>
    <row r="358" customFormat="false" ht="13.2" hidden="false" customHeight="true" outlineLevel="0" collapsed="false">
      <c r="A358" s="167"/>
      <c r="B358" s="295" t="s">
        <v>323</v>
      </c>
      <c r="C358" s="403" t="str">
        <f aca="false">IF(K325&gt;130,"-",IF(K325&lt;110,"-",IF(K325&lt;130,"X",0)))</f>
        <v>-</v>
      </c>
      <c r="D358" s="142"/>
      <c r="E358" s="470" t="str">
        <f aca="false">IF($C$49="X"," ",IF(C358="X",N358,IF(C358="-"," ",0)))</f>
        <v> </v>
      </c>
      <c r="F358" s="205" t="s">
        <v>324</v>
      </c>
      <c r="G358" s="403" t="str">
        <f aca="false">IF(K327&gt;50,"-",IF(K327&gt;45,"X","-"))</f>
        <v>-</v>
      </c>
      <c r="H358" s="142"/>
      <c r="I358" s="142"/>
      <c r="J358" s="469" t="str">
        <f aca="false">O358</f>
        <v> </v>
      </c>
      <c r="K358" s="475"/>
      <c r="L358" s="379"/>
      <c r="M358" s="471" t="n">
        <f aca="false">IF(E358=" ",0,IF(G356="x","9%",IF(G354="x","9%",IF(E358="8%","8%",0))))</f>
        <v>0</v>
      </c>
      <c r="N358" s="472" t="n">
        <v>0.08</v>
      </c>
      <c r="O358" s="425" t="str">
        <f aca="false">IF(E358&lt;&gt;" ",IF(K327&gt;50,P358,N358)," ")</f>
        <v> </v>
      </c>
      <c r="P358" s="472" t="n">
        <v>0.09</v>
      </c>
    </row>
    <row r="359" customFormat="false" ht="5.1" hidden="false" customHeight="true" outlineLevel="0" collapsed="false">
      <c r="A359" s="167"/>
      <c r="B359" s="295"/>
      <c r="C359" s="142"/>
      <c r="D359" s="142"/>
      <c r="E359" s="105"/>
      <c r="F359" s="205"/>
      <c r="G359" s="142"/>
      <c r="H359" s="142"/>
      <c r="I359" s="142"/>
      <c r="J359" s="156"/>
      <c r="K359" s="142"/>
      <c r="L359" s="379"/>
      <c r="M359" s="471"/>
    </row>
    <row r="360" customFormat="false" ht="13.2" hidden="false" customHeight="true" outlineLevel="0" collapsed="false">
      <c r="A360" s="167"/>
      <c r="B360" s="295" t="s">
        <v>325</v>
      </c>
      <c r="C360" s="403" t="str">
        <f aca="false">IF(K325&gt;110,"-",IF(K325&lt;95,"-",IF(K325&lt;110,"X",0)))</f>
        <v>-</v>
      </c>
      <c r="D360" s="142"/>
      <c r="E360" s="470" t="str">
        <f aca="false">IF($C$49="X"," ",IF(C360="X",N360,IF(C360="-"," ",0)))</f>
        <v> </v>
      </c>
      <c r="F360" s="205" t="s">
        <v>326</v>
      </c>
      <c r="G360" s="403" t="str">
        <f aca="false">IF(K327&gt;45,"-",IF(K327&gt;40,"X","-"))</f>
        <v>-</v>
      </c>
      <c r="H360" s="142"/>
      <c r="I360" s="142"/>
      <c r="J360" s="469" t="str">
        <f aca="false">O360</f>
        <v> </v>
      </c>
      <c r="K360" s="475"/>
      <c r="L360" s="379"/>
      <c r="M360" s="471" t="n">
        <f aca="false">IF(E360=" ",0,IF(G358="x","8%",IF(G356="x","8%",IF(G354="x","8%",IF(E360="7%","7%",0)))))</f>
        <v>0</v>
      </c>
      <c r="N360" s="472" t="n">
        <v>0.07</v>
      </c>
      <c r="O360" s="425" t="str">
        <f aca="false">IF(E360&lt;&gt;" ",IF(K327&gt;45,P360,N360)," ")</f>
        <v> </v>
      </c>
      <c r="P360" s="472" t="n">
        <v>0.08</v>
      </c>
    </row>
    <row r="361" customFormat="false" ht="5.1" hidden="false" customHeight="true" outlineLevel="0" collapsed="false">
      <c r="A361" s="167"/>
      <c r="B361" s="295"/>
      <c r="C361" s="142"/>
      <c r="D361" s="142"/>
      <c r="E361" s="105"/>
      <c r="F361" s="205"/>
      <c r="G361" s="142"/>
      <c r="H361" s="142"/>
      <c r="I361" s="142"/>
      <c r="J361" s="156"/>
      <c r="K361" s="142"/>
      <c r="L361" s="379"/>
      <c r="M361" s="474"/>
    </row>
    <row r="362" customFormat="false" ht="13.2" hidden="false" customHeight="true" outlineLevel="0" collapsed="false">
      <c r="A362" s="167"/>
      <c r="B362" s="295" t="s">
        <v>327</v>
      </c>
      <c r="C362" s="403" t="str">
        <f aca="false">IF(K325&lt;95,"X","-")</f>
        <v>X</v>
      </c>
      <c r="D362" s="142"/>
      <c r="E362" s="469" t="n">
        <f aca="false">IF($C$49="X"," ",IF(C362="X",N362,IF(C362="-"," ",0)))</f>
        <v>0.07</v>
      </c>
      <c r="F362" s="205" t="s">
        <v>328</v>
      </c>
      <c r="G362" s="403" t="str">
        <f aca="false">IF(K327&lt;=40,"X","-")</f>
        <v>X</v>
      </c>
      <c r="H362" s="142"/>
      <c r="I362" s="142"/>
      <c r="J362" s="469" t="n">
        <f aca="false">O362</f>
        <v>0.07</v>
      </c>
      <c r="K362" s="475"/>
      <c r="L362" s="379"/>
      <c r="M362" s="471" t="n">
        <f aca="false">IF(E362=" ",0,IF(G360="x","8%",IF(G358="x","8%",IF(G356="x","8%",IF(G354="x","8%",IF(E362="7%","7%",0))))))</f>
        <v>0</v>
      </c>
      <c r="N362" s="472" t="n">
        <v>0.07</v>
      </c>
      <c r="O362" s="472" t="n">
        <f aca="false">IF(E362&lt;&gt;" ",IF(K327&gt;40,P362,N362)," ")</f>
        <v>0.07</v>
      </c>
      <c r="P362" s="472" t="n">
        <v>0.08</v>
      </c>
    </row>
    <row r="363" customFormat="false" ht="5.1" hidden="false" customHeight="true" outlineLevel="0" collapsed="false">
      <c r="A363" s="167"/>
      <c r="B363" s="142"/>
      <c r="C363" s="142"/>
      <c r="D363" s="142"/>
      <c r="E363" s="105"/>
      <c r="K363" s="142"/>
      <c r="L363" s="379"/>
      <c r="M363" s="474"/>
    </row>
    <row r="364" customFormat="false" ht="13.2" hidden="false" customHeight="true" outlineLevel="0" collapsed="false">
      <c r="A364" s="167"/>
      <c r="B364" s="295" t="s">
        <v>329</v>
      </c>
      <c r="C364" s="476"/>
      <c r="D364" s="142"/>
      <c r="E364" s="475" t="str">
        <f aca="false">IF(C364="X",N364," ")</f>
        <v> </v>
      </c>
      <c r="J364" s="477" t="str">
        <f aca="false">E364</f>
        <v> </v>
      </c>
      <c r="K364" s="475" t="s">
        <v>330</v>
      </c>
      <c r="L364" s="379"/>
      <c r="M364" s="471" t="n">
        <f aca="false">IF(J364=" ",0,IF(J364="10%",0.1,0))</f>
        <v>0</v>
      </c>
      <c r="N364" s="472" t="n">
        <v>0.1</v>
      </c>
    </row>
    <row r="365" customFormat="false" ht="9" hidden="false" customHeight="true" outlineLevel="0" collapsed="false">
      <c r="A365" s="167"/>
      <c r="B365" s="142"/>
      <c r="C365" s="142"/>
      <c r="D365" s="142"/>
      <c r="E365" s="142"/>
      <c r="F365" s="142"/>
      <c r="G365" s="142"/>
      <c r="H365" s="142"/>
      <c r="I365" s="142"/>
      <c r="J365" s="142"/>
      <c r="K365" s="142"/>
      <c r="L365" s="379"/>
      <c r="M365" s="471" t="n">
        <f aca="false">M354+M356+M358+M360+M362+M364</f>
        <v>0</v>
      </c>
    </row>
    <row r="366" customFormat="false" ht="6" hidden="false" customHeight="true" outlineLevel="0" collapsed="false">
      <c r="A366" s="167"/>
      <c r="B366" s="142"/>
      <c r="C366" s="142"/>
      <c r="D366" s="142"/>
      <c r="E366" s="142"/>
      <c r="F366" s="142"/>
      <c r="G366" s="142"/>
      <c r="H366" s="142"/>
      <c r="I366" s="142"/>
      <c r="J366" s="142"/>
      <c r="K366" s="142"/>
      <c r="L366" s="379"/>
      <c r="M366" s="318"/>
    </row>
    <row r="367" customFormat="false" ht="12.75" hidden="false" customHeight="true" outlineLevel="0" collapsed="false">
      <c r="A367" s="167"/>
      <c r="B367" s="142" t="s">
        <v>331</v>
      </c>
      <c r="C367" s="142"/>
      <c r="D367" s="142"/>
      <c r="E367" s="142"/>
      <c r="F367" s="142"/>
      <c r="G367" s="476"/>
      <c r="H367" s="142"/>
      <c r="I367" s="142"/>
      <c r="J367" s="142"/>
      <c r="K367" s="142"/>
      <c r="L367" s="379"/>
      <c r="M367" s="318"/>
      <c r="N367" s="425" t="n">
        <f aca="false">IF(G367="X",1,0)</f>
        <v>0</v>
      </c>
    </row>
    <row r="368" customFormat="false" ht="6" hidden="false" customHeight="true" outlineLevel="0" collapsed="false">
      <c r="A368" s="167"/>
      <c r="B368" s="142"/>
      <c r="C368" s="142"/>
      <c r="D368" s="142"/>
      <c r="E368" s="142"/>
      <c r="F368" s="142"/>
      <c r="G368" s="295"/>
      <c r="H368" s="142"/>
      <c r="I368" s="142"/>
      <c r="J368" s="142"/>
      <c r="K368" s="142"/>
      <c r="L368" s="379"/>
      <c r="M368" s="318"/>
    </row>
    <row r="369" customFormat="false" ht="13.2" hidden="false" customHeight="true" outlineLevel="0" collapsed="false">
      <c r="A369" s="167"/>
      <c r="B369" s="142" t="s">
        <v>332</v>
      </c>
      <c r="C369" s="142"/>
      <c r="D369" s="142"/>
      <c r="E369" s="142"/>
      <c r="F369" s="142"/>
      <c r="G369" s="476" t="s">
        <v>238</v>
      </c>
      <c r="H369" s="142"/>
      <c r="I369" s="142"/>
      <c r="J369" s="142"/>
      <c r="K369" s="142"/>
      <c r="L369" s="379"/>
      <c r="M369" s="318"/>
      <c r="N369" s="425" t="n">
        <f aca="false">IF(G369="X",1,0)</f>
        <v>0</v>
      </c>
    </row>
    <row r="370" customFormat="false" ht="5.1" hidden="false" customHeight="true" outlineLevel="0" collapsed="false">
      <c r="A370" s="167"/>
      <c r="B370" s="142"/>
      <c r="C370" s="142"/>
      <c r="D370" s="142"/>
      <c r="E370" s="142"/>
      <c r="F370" s="142"/>
      <c r="G370" s="295"/>
      <c r="H370" s="142"/>
      <c r="I370" s="142"/>
      <c r="J370" s="142"/>
      <c r="K370" s="142"/>
      <c r="L370" s="379"/>
      <c r="M370" s="318"/>
    </row>
    <row r="371" customFormat="false" ht="12.75" hidden="false" customHeight="true" outlineLevel="0" collapsed="false">
      <c r="A371" s="167"/>
      <c r="B371" s="142" t="s">
        <v>333</v>
      </c>
      <c r="C371" s="142"/>
      <c r="D371" s="142"/>
      <c r="E371" s="142"/>
      <c r="F371" s="142"/>
      <c r="G371" s="476"/>
      <c r="H371" s="142"/>
      <c r="I371" s="142"/>
      <c r="J371" s="142"/>
      <c r="K371" s="142"/>
      <c r="L371" s="379"/>
      <c r="M371" s="318"/>
      <c r="N371" s="425" t="n">
        <f aca="false">IF(G371="X",1,0)</f>
        <v>0</v>
      </c>
    </row>
    <row r="372" customFormat="false" ht="4.5" hidden="false" customHeight="true" outlineLevel="0" collapsed="false">
      <c r="A372" s="167"/>
      <c r="B372" s="142"/>
      <c r="C372" s="142"/>
      <c r="D372" s="142"/>
      <c r="E372" s="142"/>
      <c r="F372" s="142"/>
      <c r="G372" s="142"/>
      <c r="H372" s="142"/>
      <c r="I372" s="142"/>
      <c r="J372" s="142"/>
      <c r="K372" s="142"/>
      <c r="L372" s="379"/>
      <c r="M372" s="318"/>
    </row>
    <row r="373" customFormat="false" ht="15" hidden="false" customHeight="true" outlineLevel="0" collapsed="false">
      <c r="A373" s="167"/>
      <c r="B373" s="142" t="s">
        <v>334</v>
      </c>
      <c r="C373" s="142"/>
      <c r="D373" s="142"/>
      <c r="E373" s="142"/>
      <c r="F373" s="142"/>
      <c r="G373" s="142"/>
      <c r="H373" s="142"/>
      <c r="I373" s="142"/>
      <c r="J373" s="142"/>
      <c r="K373" s="478" t="n">
        <f aca="false">IF(N373&gt;0,O373-0.01,O373)</f>
        <v>0.07</v>
      </c>
      <c r="L373" s="478"/>
      <c r="M373" s="318"/>
      <c r="N373" s="425" t="n">
        <f aca="false">N367+N369+N371</f>
        <v>0</v>
      </c>
      <c r="O373" s="473" t="n">
        <f aca="false">IF(J364&lt;&gt;" ",J364,P350)</f>
        <v>0.07</v>
      </c>
    </row>
    <row r="374" customFormat="false" ht="4.5" hidden="false" customHeight="true" outlineLevel="0" collapsed="false">
      <c r="A374" s="167"/>
      <c r="B374" s="142"/>
      <c r="C374" s="142"/>
      <c r="D374" s="142"/>
      <c r="E374" s="142"/>
      <c r="F374" s="142"/>
      <c r="G374" s="142"/>
      <c r="H374" s="142"/>
      <c r="I374" s="142"/>
      <c r="J374" s="142"/>
      <c r="K374" s="142"/>
      <c r="L374" s="379"/>
      <c r="M374" s="318"/>
    </row>
    <row r="375" customFormat="false" ht="4.5" hidden="false" customHeight="true" outlineLevel="0" collapsed="false">
      <c r="A375" s="167"/>
      <c r="B375" s="142"/>
      <c r="C375" s="142"/>
      <c r="D375" s="142"/>
      <c r="E375" s="142"/>
      <c r="F375" s="142"/>
      <c r="G375" s="142"/>
      <c r="H375" s="142"/>
      <c r="I375" s="142"/>
      <c r="J375" s="142"/>
      <c r="K375" s="142"/>
      <c r="L375" s="379"/>
      <c r="M375" s="318"/>
    </row>
    <row r="376" customFormat="false" ht="12.75" hidden="false" customHeight="true" outlineLevel="0" collapsed="false">
      <c r="A376" s="467" t="s">
        <v>335</v>
      </c>
      <c r="B376" s="467"/>
      <c r="C376" s="467"/>
      <c r="D376" s="467"/>
      <c r="E376" s="467"/>
      <c r="F376" s="467"/>
      <c r="G376" s="467"/>
      <c r="H376" s="467"/>
      <c r="I376" s="467"/>
      <c r="J376" s="467"/>
      <c r="K376" s="467"/>
      <c r="L376" s="467"/>
      <c r="M376" s="318"/>
    </row>
    <row r="377" customFormat="false" ht="6" hidden="false" customHeight="true" outlineLevel="0" collapsed="false">
      <c r="A377" s="167"/>
      <c r="B377" s="142"/>
      <c r="C377" s="142"/>
      <c r="D377" s="142"/>
      <c r="E377" s="142"/>
      <c r="F377" s="142"/>
      <c r="G377" s="142"/>
      <c r="H377" s="142"/>
      <c r="I377" s="142"/>
      <c r="J377" s="142"/>
      <c r="K377" s="142"/>
      <c r="L377" s="379"/>
      <c r="M377" s="318"/>
    </row>
    <row r="378" customFormat="false" ht="18" hidden="false" customHeight="true" outlineLevel="0" collapsed="false">
      <c r="A378" s="167"/>
      <c r="B378" s="142" t="s">
        <v>336</v>
      </c>
      <c r="C378" s="142"/>
      <c r="D378" s="142"/>
      <c r="E378" s="142"/>
      <c r="F378" s="142"/>
      <c r="G378" s="142"/>
      <c r="H378" s="142" t="s">
        <v>169</v>
      </c>
      <c r="I378" s="479" t="n">
        <f aca="false">K344</f>
        <v>0</v>
      </c>
      <c r="J378" s="479"/>
      <c r="K378" s="479"/>
      <c r="L378" s="479"/>
      <c r="M378" s="318"/>
    </row>
    <row r="379" customFormat="false" ht="5.1" hidden="false" customHeight="true" outlineLevel="0" collapsed="false">
      <c r="A379" s="167"/>
      <c r="B379" s="142"/>
      <c r="C379" s="142"/>
      <c r="D379" s="142"/>
      <c r="E379" s="142"/>
      <c r="F379" s="142"/>
      <c r="G379" s="142"/>
      <c r="H379" s="142"/>
      <c r="I379" s="142"/>
      <c r="J379" s="142"/>
      <c r="K379" s="142"/>
      <c r="L379" s="379"/>
      <c r="M379" s="318"/>
    </row>
    <row r="380" customFormat="false" ht="18" hidden="false" customHeight="true" outlineLevel="0" collapsed="false">
      <c r="A380" s="167"/>
      <c r="B380" s="142" t="s">
        <v>337</v>
      </c>
      <c r="C380" s="142"/>
      <c r="D380" s="142"/>
      <c r="E380" s="142"/>
      <c r="F380" s="142"/>
      <c r="G380" s="142"/>
      <c r="H380" s="142" t="s">
        <v>338</v>
      </c>
      <c r="I380" s="480" t="n">
        <f aca="false">K373</f>
        <v>0.07</v>
      </c>
      <c r="J380" s="480"/>
      <c r="K380" s="480"/>
      <c r="L380" s="480"/>
      <c r="M380" s="318"/>
    </row>
    <row r="381" customFormat="false" ht="5.1" hidden="false" customHeight="true" outlineLevel="0" collapsed="false">
      <c r="A381" s="167"/>
      <c r="B381" s="142"/>
      <c r="C381" s="142"/>
      <c r="D381" s="142"/>
      <c r="E381" s="142"/>
      <c r="F381" s="142"/>
      <c r="G381" s="142"/>
      <c r="H381" s="142"/>
      <c r="I381" s="142"/>
      <c r="J381" s="142"/>
      <c r="K381" s="142"/>
      <c r="L381" s="379"/>
      <c r="M381" s="318"/>
    </row>
    <row r="382" customFormat="false" ht="18" hidden="false" customHeight="true" outlineLevel="0" collapsed="false">
      <c r="A382" s="481"/>
      <c r="B382" s="197" t="s">
        <v>339</v>
      </c>
      <c r="C382" s="197"/>
      <c r="D382" s="197"/>
      <c r="E382" s="197"/>
      <c r="F382" s="197"/>
      <c r="G382" s="197"/>
      <c r="H382" s="197" t="s">
        <v>169</v>
      </c>
      <c r="I382" s="482" t="n">
        <f aca="false">I378*I380</f>
        <v>0</v>
      </c>
      <c r="J382" s="482"/>
      <c r="K382" s="482"/>
      <c r="L382" s="482"/>
      <c r="M382" s="318"/>
    </row>
    <row r="383" s="112" customFormat="true" ht="28.35" hidden="false" customHeight="true" outlineLevel="0" collapsed="false">
      <c r="A383" s="483"/>
      <c r="B383" s="484"/>
      <c r="C383" s="484"/>
      <c r="D383" s="484"/>
      <c r="E383" s="484"/>
      <c r="F383" s="484"/>
      <c r="G383" s="484"/>
      <c r="H383" s="484"/>
      <c r="I383" s="484"/>
      <c r="J383" s="484"/>
      <c r="K383" s="484"/>
      <c r="L383" s="485"/>
      <c r="M383" s="430"/>
      <c r="N383" s="118"/>
      <c r="O383" s="118"/>
      <c r="P383" s="118"/>
      <c r="Q383" s="118"/>
      <c r="R383" s="118"/>
    </row>
    <row r="384" s="112" customFormat="true" ht="18" hidden="false" customHeight="true" outlineLevel="0" collapsed="false">
      <c r="A384" s="432" t="s">
        <v>341</v>
      </c>
      <c r="B384" s="209"/>
      <c r="C384" s="209"/>
      <c r="D384" s="209"/>
      <c r="E384" s="209"/>
      <c r="F384" s="434" t="s">
        <v>162</v>
      </c>
      <c r="G384" s="211"/>
      <c r="H384" s="211"/>
      <c r="I384" s="123"/>
      <c r="J384" s="436"/>
      <c r="K384" s="434" t="s">
        <v>297</v>
      </c>
      <c r="L384" s="437"/>
      <c r="M384" s="430"/>
      <c r="N384" s="118"/>
      <c r="O384" s="118"/>
      <c r="P384" s="118"/>
      <c r="Q384" s="118"/>
      <c r="R384" s="118"/>
    </row>
    <row r="385" s="112" customFormat="true" ht="9.75" hidden="false" customHeight="true" outlineLevel="0" collapsed="false">
      <c r="A385" s="438"/>
      <c r="B385" s="439"/>
      <c r="C385" s="440"/>
      <c r="D385" s="440"/>
      <c r="E385" s="123"/>
      <c r="F385" s="440"/>
      <c r="G385" s="434"/>
      <c r="H385" s="440"/>
      <c r="I385" s="123"/>
      <c r="J385" s="434"/>
      <c r="K385" s="441"/>
      <c r="L385" s="488"/>
      <c r="M385" s="430"/>
      <c r="N385" s="118"/>
      <c r="O385" s="118"/>
      <c r="P385" s="118"/>
      <c r="Q385" s="118"/>
      <c r="R385" s="118"/>
    </row>
    <row r="386" customFormat="false" ht="13.2" hidden="false" customHeight="true" outlineLevel="0" collapsed="false">
      <c r="A386" s="442" t="s">
        <v>298</v>
      </c>
      <c r="B386" s="442"/>
      <c r="C386" s="442"/>
      <c r="D386" s="442"/>
      <c r="E386" s="442"/>
      <c r="F386" s="442"/>
      <c r="G386" s="442"/>
      <c r="H386" s="442"/>
      <c r="I386" s="442"/>
      <c r="J386" s="442"/>
      <c r="K386" s="442"/>
      <c r="L386" s="442"/>
      <c r="M386" s="318"/>
    </row>
    <row r="387" customFormat="false" ht="9" hidden="false" customHeight="true" outlineLevel="0" collapsed="false">
      <c r="A387" s="443"/>
      <c r="B387" s="444"/>
      <c r="C387" s="101"/>
      <c r="D387" s="101"/>
      <c r="E387" s="101"/>
      <c r="F387" s="101"/>
      <c r="G387" s="101"/>
      <c r="H387" s="101"/>
      <c r="I387" s="101"/>
      <c r="J387" s="101"/>
      <c r="K387" s="101"/>
      <c r="L387" s="445"/>
    </row>
    <row r="388" customFormat="false" ht="12.75" hidden="false" customHeight="true" outlineLevel="0" collapsed="false">
      <c r="A388" s="443"/>
      <c r="B388" s="446" t="s">
        <v>299</v>
      </c>
      <c r="C388" s="101"/>
      <c r="D388" s="101"/>
      <c r="E388" s="101"/>
      <c r="F388" s="101"/>
      <c r="G388" s="101"/>
      <c r="H388" s="101"/>
      <c r="I388" s="101"/>
      <c r="J388" s="101"/>
      <c r="K388" s="447"/>
      <c r="L388" s="448"/>
    </row>
    <row r="389" customFormat="false" ht="9" hidden="false" customHeight="true" outlineLevel="0" collapsed="false">
      <c r="A389" s="443"/>
      <c r="B389" s="444"/>
      <c r="C389" s="101"/>
      <c r="D389" s="101"/>
      <c r="E389" s="101"/>
      <c r="F389" s="101"/>
      <c r="G389" s="101"/>
      <c r="H389" s="101"/>
      <c r="I389" s="101"/>
      <c r="J389" s="101"/>
      <c r="K389" s="449"/>
      <c r="L389" s="448"/>
    </row>
    <row r="390" customFormat="false" ht="12.75" hidden="false" customHeight="true" outlineLevel="0" collapsed="false">
      <c r="A390" s="443"/>
      <c r="B390" s="446" t="s">
        <v>300</v>
      </c>
      <c r="C390" s="101"/>
      <c r="D390" s="101"/>
      <c r="E390" s="101"/>
      <c r="F390" s="101"/>
      <c r="G390" s="101"/>
      <c r="H390" s="101"/>
      <c r="I390" s="101"/>
      <c r="J390" s="101"/>
      <c r="K390" s="447"/>
      <c r="L390" s="448"/>
    </row>
    <row r="391" customFormat="false" ht="6.75" hidden="false" customHeight="true" outlineLevel="0" collapsed="false">
      <c r="A391" s="443"/>
      <c r="B391" s="444"/>
      <c r="C391" s="101"/>
      <c r="D391" s="101"/>
      <c r="E391" s="101"/>
      <c r="F391" s="101"/>
      <c r="G391" s="101"/>
      <c r="H391" s="101"/>
      <c r="I391" s="101"/>
      <c r="J391" s="101"/>
      <c r="K391" s="101"/>
      <c r="L391" s="450"/>
    </row>
    <row r="392" customFormat="false" ht="12.75" hidden="false" customHeight="true" outlineLevel="0" collapsed="false">
      <c r="A392" s="443" t="s">
        <v>301</v>
      </c>
      <c r="B392" s="101" t="s">
        <v>302</v>
      </c>
      <c r="C392" s="101"/>
      <c r="D392" s="101"/>
      <c r="E392" s="101"/>
      <c r="F392" s="101"/>
      <c r="G392" s="101"/>
      <c r="H392" s="101"/>
      <c r="I392" s="101"/>
      <c r="J392" s="444" t="s">
        <v>205</v>
      </c>
      <c r="K392" s="447"/>
      <c r="L392" s="448"/>
      <c r="M392" s="318"/>
    </row>
    <row r="393" customFormat="false" ht="9" hidden="false" customHeight="true" outlineLevel="0" collapsed="false">
      <c r="A393" s="443"/>
      <c r="B393" s="101"/>
      <c r="C393" s="101"/>
      <c r="D393" s="101"/>
      <c r="E393" s="101"/>
      <c r="F393" s="101"/>
      <c r="G393" s="101"/>
      <c r="H393" s="101"/>
      <c r="I393" s="101"/>
      <c r="J393" s="444"/>
      <c r="K393" s="101"/>
      <c r="L393" s="450"/>
      <c r="M393" s="318"/>
    </row>
    <row r="394" customFormat="false" ht="12.75" hidden="false" customHeight="true" outlineLevel="0" collapsed="false">
      <c r="A394" s="443"/>
      <c r="B394" s="451" t="s">
        <v>303</v>
      </c>
      <c r="C394" s="451"/>
      <c r="D394" s="451"/>
      <c r="E394" s="101"/>
      <c r="F394" s="101"/>
      <c r="G394" s="101"/>
      <c r="H394" s="101"/>
      <c r="I394" s="101"/>
      <c r="J394" s="444"/>
      <c r="K394" s="101"/>
      <c r="L394" s="452"/>
      <c r="M394" s="318"/>
    </row>
    <row r="395" customFormat="false" ht="12.75" hidden="false" customHeight="true" outlineLevel="0" collapsed="false">
      <c r="A395" s="453" t="s">
        <v>304</v>
      </c>
      <c r="B395" s="451"/>
      <c r="C395" s="451"/>
      <c r="D395" s="451"/>
      <c r="E395" s="101" t="s">
        <v>205</v>
      </c>
      <c r="F395" s="454"/>
      <c r="G395" s="444" t="s">
        <v>305</v>
      </c>
      <c r="H395" s="101" t="n">
        <v>0.6</v>
      </c>
      <c r="I395" s="101" t="s">
        <v>306</v>
      </c>
      <c r="J395" s="444" t="s">
        <v>205</v>
      </c>
      <c r="K395" s="455" t="n">
        <f aca="false">IF(F395&gt;0,F395*H395,0)</f>
        <v>0</v>
      </c>
      <c r="L395" s="456"/>
      <c r="M395" s="318"/>
    </row>
    <row r="396" customFormat="false" ht="6" hidden="false" customHeight="true" outlineLevel="0" collapsed="false">
      <c r="A396" s="443"/>
      <c r="B396" s="101"/>
      <c r="C396" s="101"/>
      <c r="D396" s="101"/>
      <c r="E396" s="101"/>
      <c r="F396" s="101"/>
      <c r="G396" s="101"/>
      <c r="H396" s="101"/>
      <c r="I396" s="101"/>
      <c r="J396" s="444"/>
      <c r="K396" s="101"/>
      <c r="L396" s="450"/>
      <c r="M396" s="318"/>
    </row>
    <row r="397" customFormat="false" ht="13.2" hidden="false" customHeight="true" outlineLevel="0" collapsed="false">
      <c r="A397" s="443"/>
      <c r="B397" s="101"/>
      <c r="C397" s="101"/>
      <c r="D397" s="101"/>
      <c r="E397" s="101"/>
      <c r="F397" s="101"/>
      <c r="G397" s="101"/>
      <c r="H397" s="101"/>
      <c r="I397" s="101"/>
      <c r="J397" s="444"/>
      <c r="K397" s="101"/>
      <c r="L397" s="450"/>
      <c r="M397" s="318"/>
    </row>
    <row r="398" customFormat="false" ht="12.75" hidden="false" customHeight="true" outlineLevel="0" collapsed="false">
      <c r="A398" s="443"/>
      <c r="B398" s="157"/>
      <c r="C398" s="101"/>
      <c r="D398" s="101"/>
      <c r="E398" s="101"/>
      <c r="F398" s="101"/>
      <c r="G398" s="101"/>
      <c r="H398" s="101"/>
      <c r="I398" s="101"/>
      <c r="J398" s="444"/>
      <c r="K398" s="457"/>
      <c r="L398" s="448"/>
      <c r="M398" s="318"/>
    </row>
    <row r="399" customFormat="false" ht="8.25" hidden="false" customHeight="true" outlineLevel="0" collapsed="false">
      <c r="A399" s="443"/>
      <c r="B399" s="157"/>
      <c r="C399" s="101"/>
      <c r="D399" s="101"/>
      <c r="E399" s="101"/>
      <c r="F399" s="101"/>
      <c r="G399" s="101"/>
      <c r="H399" s="101"/>
      <c r="I399" s="101"/>
      <c r="J399" s="444"/>
      <c r="K399" s="101"/>
      <c r="L399" s="450"/>
      <c r="M399" s="318"/>
    </row>
    <row r="400" customFormat="false" ht="12.75" hidden="false" customHeight="true" outlineLevel="0" collapsed="false">
      <c r="A400" s="443" t="s">
        <v>307</v>
      </c>
      <c r="B400" s="101" t="s">
        <v>308</v>
      </c>
      <c r="C400" s="101"/>
      <c r="D400" s="101"/>
      <c r="E400" s="101"/>
      <c r="F400" s="101"/>
      <c r="G400" s="101"/>
      <c r="H400" s="101"/>
      <c r="I400" s="101"/>
      <c r="J400" s="444" t="s">
        <v>205</v>
      </c>
      <c r="K400" s="458" t="n">
        <f aca="false">K392+K395+K398</f>
        <v>0</v>
      </c>
      <c r="L400" s="459"/>
      <c r="M400" s="318"/>
    </row>
    <row r="401" customFormat="false" ht="8.25" hidden="false" customHeight="true" outlineLevel="0" collapsed="false">
      <c r="A401" s="443"/>
      <c r="B401" s="101"/>
      <c r="C401" s="101"/>
      <c r="D401" s="101"/>
      <c r="E401" s="101"/>
      <c r="F401" s="101"/>
      <c r="G401" s="101"/>
      <c r="H401" s="101"/>
      <c r="I401" s="101"/>
      <c r="J401" s="444"/>
      <c r="K401" s="101"/>
      <c r="L401" s="450"/>
      <c r="M401" s="318"/>
    </row>
    <row r="402" customFormat="false" ht="13.2" hidden="false" customHeight="true" outlineLevel="0" collapsed="false">
      <c r="A402" s="443" t="s">
        <v>309</v>
      </c>
      <c r="B402" s="101" t="s">
        <v>310</v>
      </c>
      <c r="C402" s="101"/>
      <c r="D402" s="101"/>
      <c r="E402" s="101"/>
      <c r="F402" s="101"/>
      <c r="G402" s="101"/>
      <c r="H402" s="101"/>
      <c r="I402" s="101"/>
      <c r="J402" s="444"/>
      <c r="K402" s="101"/>
      <c r="L402" s="450"/>
      <c r="M402" s="318"/>
    </row>
    <row r="403" customFormat="false" ht="12.75" hidden="false" customHeight="true" outlineLevel="0" collapsed="false">
      <c r="A403" s="443"/>
      <c r="B403" s="157" t="s">
        <v>311</v>
      </c>
      <c r="C403" s="101"/>
      <c r="D403" s="101"/>
      <c r="E403" s="101"/>
      <c r="F403" s="101"/>
      <c r="G403" s="101"/>
      <c r="H403" s="101"/>
      <c r="I403" s="101"/>
      <c r="J403" s="444" t="s">
        <v>206</v>
      </c>
      <c r="K403" s="455" t="n">
        <f aca="false">('costo-mq'!$O$82)/2</f>
        <v>156.36555</v>
      </c>
      <c r="L403" s="456"/>
    </row>
    <row r="404" customFormat="false" ht="6" hidden="false" customHeight="true" outlineLevel="0" collapsed="false">
      <c r="A404" s="443"/>
      <c r="B404" s="101"/>
      <c r="C404" s="101"/>
      <c r="D404" s="101"/>
      <c r="E404" s="101"/>
      <c r="F404" s="101"/>
      <c r="G404" s="101"/>
      <c r="H404" s="101"/>
      <c r="I404" s="101"/>
      <c r="J404" s="444"/>
      <c r="K404" s="154"/>
      <c r="L404" s="460"/>
      <c r="M404" s="318"/>
    </row>
    <row r="405" customFormat="false" ht="18" hidden="false" customHeight="true" outlineLevel="0" collapsed="false">
      <c r="A405" s="443"/>
      <c r="B405" s="101"/>
      <c r="C405" s="101"/>
      <c r="D405" s="101"/>
      <c r="E405" s="101"/>
      <c r="F405" s="101"/>
      <c r="G405" s="101"/>
      <c r="H405" s="461"/>
      <c r="I405" s="101"/>
      <c r="J405" s="444"/>
      <c r="K405" s="154"/>
      <c r="L405" s="460"/>
      <c r="M405" s="462"/>
    </row>
    <row r="406" customFormat="false" ht="6" hidden="false" customHeight="true" outlineLevel="0" collapsed="false">
      <c r="A406" s="443"/>
      <c r="B406" s="101"/>
      <c r="C406" s="101"/>
      <c r="D406" s="101"/>
      <c r="E406" s="101"/>
      <c r="F406" s="101"/>
      <c r="G406" s="101"/>
      <c r="H406" s="101"/>
      <c r="I406" s="101"/>
      <c r="J406" s="444"/>
      <c r="K406" s="154"/>
      <c r="L406" s="463"/>
      <c r="M406" s="318"/>
    </row>
    <row r="407" customFormat="false" ht="12.75" hidden="false" customHeight="true" outlineLevel="0" collapsed="false">
      <c r="A407" s="443" t="s">
        <v>312</v>
      </c>
      <c r="B407" s="464" t="s">
        <v>313</v>
      </c>
      <c r="C407" s="465"/>
      <c r="D407" s="465"/>
      <c r="E407" s="465"/>
      <c r="F407" s="465"/>
      <c r="G407" s="465"/>
      <c r="H407" s="465"/>
      <c r="I407" s="465"/>
      <c r="J407" s="466" t="s">
        <v>169</v>
      </c>
      <c r="K407" s="458" t="n">
        <f aca="false">K400*K403</f>
        <v>0</v>
      </c>
      <c r="L407" s="459"/>
      <c r="M407" s="318"/>
    </row>
    <row r="408" customFormat="false" ht="13.2" hidden="false" customHeight="true" outlineLevel="0" collapsed="false">
      <c r="A408" s="167"/>
      <c r="B408" s="142"/>
      <c r="C408" s="142"/>
      <c r="D408" s="142"/>
      <c r="E408" s="142"/>
      <c r="F408" s="142"/>
      <c r="G408" s="142"/>
      <c r="H408" s="142"/>
      <c r="I408" s="142"/>
      <c r="J408" s="142"/>
      <c r="K408" s="142"/>
      <c r="L408" s="379"/>
      <c r="M408" s="318"/>
    </row>
    <row r="409" customFormat="false" ht="5.1" hidden="false" customHeight="true" outlineLevel="0" collapsed="false">
      <c r="A409" s="167"/>
      <c r="B409" s="142"/>
      <c r="C409" s="142"/>
      <c r="D409" s="142"/>
      <c r="E409" s="142"/>
      <c r="F409" s="142"/>
      <c r="G409" s="142"/>
      <c r="H409" s="142"/>
      <c r="I409" s="142"/>
      <c r="J409" s="142"/>
      <c r="K409" s="142"/>
      <c r="L409" s="379"/>
      <c r="M409" s="318"/>
    </row>
    <row r="410" customFormat="false" ht="13.2" hidden="false" customHeight="true" outlineLevel="0" collapsed="false">
      <c r="A410" s="467" t="s">
        <v>314</v>
      </c>
      <c r="B410" s="467"/>
      <c r="C410" s="467"/>
      <c r="D410" s="467"/>
      <c r="E410" s="467"/>
      <c r="F410" s="467"/>
      <c r="G410" s="467"/>
      <c r="H410" s="467"/>
      <c r="I410" s="467"/>
      <c r="J410" s="467"/>
      <c r="K410" s="467"/>
      <c r="L410" s="467"/>
      <c r="M410" s="318"/>
    </row>
    <row r="411" customFormat="false" ht="5.1" hidden="false" customHeight="true" outlineLevel="0" collapsed="false">
      <c r="A411" s="167"/>
      <c r="B411" s="142"/>
      <c r="C411" s="142"/>
      <c r="D411" s="142"/>
      <c r="E411" s="142"/>
      <c r="F411" s="142"/>
      <c r="G411" s="142"/>
      <c r="H411" s="142"/>
      <c r="I411" s="142"/>
      <c r="J411" s="142"/>
      <c r="K411" s="142"/>
      <c r="L411" s="379"/>
      <c r="M411" s="318"/>
    </row>
    <row r="412" customFormat="false" ht="16.5" hidden="false" customHeight="true" outlineLevel="0" collapsed="false">
      <c r="A412" s="167"/>
      <c r="B412" s="352" t="s">
        <v>225</v>
      </c>
      <c r="C412" s="142"/>
      <c r="D412" s="383" t="s">
        <v>315</v>
      </c>
      <c r="E412" s="383"/>
      <c r="F412" s="388" t="s">
        <v>316</v>
      </c>
      <c r="G412" s="142"/>
      <c r="H412" s="142"/>
      <c r="I412" s="383" t="s">
        <v>317</v>
      </c>
      <c r="J412" s="383"/>
      <c r="K412" s="383"/>
      <c r="L412" s="379"/>
      <c r="M412" s="318"/>
    </row>
    <row r="413" customFormat="false" ht="11.25" hidden="false" customHeight="true" outlineLevel="0" collapsed="false">
      <c r="A413" s="167"/>
      <c r="B413" s="142"/>
      <c r="C413" s="142"/>
      <c r="D413" s="383"/>
      <c r="E413" s="383"/>
      <c r="F413" s="355"/>
      <c r="G413" s="142"/>
      <c r="H413" s="142"/>
      <c r="I413" s="383"/>
      <c r="J413" s="383"/>
      <c r="K413" s="383"/>
      <c r="L413" s="379"/>
      <c r="M413" s="318"/>
      <c r="N413" s="468" t="n">
        <f aca="false">SUM(E417:E427)</f>
        <v>0.07</v>
      </c>
      <c r="P413" s="468" t="n">
        <f aca="false">SUM(J415:J427)</f>
        <v>0.07</v>
      </c>
    </row>
    <row r="414" customFormat="false" ht="6" hidden="false" customHeight="true" outlineLevel="0" collapsed="false">
      <c r="A414" s="167"/>
      <c r="B414" s="142"/>
      <c r="C414" s="142"/>
      <c r="D414" s="383"/>
      <c r="E414" s="383"/>
      <c r="F414" s="355"/>
      <c r="G414" s="142"/>
      <c r="H414" s="142"/>
      <c r="I414" s="383"/>
      <c r="J414" s="383"/>
      <c r="K414" s="383"/>
      <c r="L414" s="379"/>
      <c r="M414" s="318"/>
    </row>
    <row r="415" customFormat="false" ht="13.5" hidden="false" customHeight="true" outlineLevel="0" collapsed="false">
      <c r="A415" s="167"/>
      <c r="B415" s="142"/>
      <c r="C415" s="142"/>
      <c r="D415" s="383"/>
      <c r="E415" s="383"/>
      <c r="F415" s="205" t="s">
        <v>318</v>
      </c>
      <c r="G415" s="403" t="str">
        <f aca="false">IF(K390&gt;60,"X","-")</f>
        <v>-</v>
      </c>
      <c r="H415" s="142"/>
      <c r="I415" s="142"/>
      <c r="J415" s="469"/>
      <c r="K415" s="383"/>
      <c r="L415" s="379"/>
      <c r="M415" s="318"/>
    </row>
    <row r="416" customFormat="false" ht="6" hidden="false" customHeight="true" outlineLevel="0" collapsed="false">
      <c r="A416" s="167"/>
      <c r="B416" s="142"/>
      <c r="C416" s="142"/>
      <c r="D416" s="142"/>
      <c r="E416" s="142"/>
      <c r="K416" s="142"/>
      <c r="L416" s="379"/>
      <c r="M416" s="318"/>
    </row>
    <row r="417" customFormat="false" ht="13.2" hidden="false" customHeight="true" outlineLevel="0" collapsed="false">
      <c r="A417" s="167"/>
      <c r="B417" s="295" t="s">
        <v>319</v>
      </c>
      <c r="C417" s="403" t="str">
        <f aca="false">IF(K388&gt;160,"X","-")</f>
        <v>-</v>
      </c>
      <c r="D417" s="142"/>
      <c r="E417" s="470" t="str">
        <f aca="false">IF($C$49="X"," ",IF(C417="X",N417,IF(C417="-"," ",0)))</f>
        <v> </v>
      </c>
      <c r="F417" s="205" t="s">
        <v>320</v>
      </c>
      <c r="G417" s="403" t="str">
        <f aca="false">IF(K390&gt;60,"-",IF(K390&gt;55,"X","-"))</f>
        <v>-</v>
      </c>
      <c r="H417" s="142"/>
      <c r="I417" s="142"/>
      <c r="J417" s="469" t="str">
        <f aca="false">O417</f>
        <v> </v>
      </c>
      <c r="L417" s="379"/>
      <c r="M417" s="471" t="n">
        <f aca="false">IF(E417=" ",0,IF(G417="x","9%",IF(G415="x","10%",0)))</f>
        <v>0</v>
      </c>
      <c r="N417" s="472" t="n">
        <v>0.09</v>
      </c>
      <c r="O417" s="473" t="str">
        <f aca="false">IF(E417&lt;&gt;" ",IF(K390&gt;60,P417,N417)," ")</f>
        <v> </v>
      </c>
      <c r="P417" s="472" t="n">
        <v>0.1</v>
      </c>
    </row>
    <row r="418" customFormat="false" ht="6" hidden="false" customHeight="true" outlineLevel="0" collapsed="false">
      <c r="A418" s="167"/>
      <c r="B418" s="295"/>
      <c r="C418" s="142"/>
      <c r="D418" s="142"/>
      <c r="E418" s="105"/>
      <c r="F418" s="205"/>
      <c r="G418" s="142"/>
      <c r="H418" s="142"/>
      <c r="I418" s="142"/>
      <c r="J418" s="156"/>
      <c r="L418" s="379"/>
      <c r="M418" s="474"/>
    </row>
    <row r="419" customFormat="false" ht="12.75" hidden="false" customHeight="true" outlineLevel="0" collapsed="false">
      <c r="A419" s="167"/>
      <c r="B419" s="295" t="s">
        <v>321</v>
      </c>
      <c r="C419" s="403" t="str">
        <f aca="false">IF(K388&gt;160,"-",IF(K388&lt;130,"-",IF(K388&lt;160,"X",0)))</f>
        <v>-</v>
      </c>
      <c r="D419" s="142"/>
      <c r="E419" s="470" t="str">
        <f aca="false">IF($C$49="X"," ",IF(C419="X",N419,IF(C419="-"," ",0)))</f>
        <v> </v>
      </c>
      <c r="F419" s="205" t="s">
        <v>322</v>
      </c>
      <c r="G419" s="403" t="str">
        <f aca="false">IF(K390&gt;55,"-",IF(K390&gt;50,"X","-"))</f>
        <v>-</v>
      </c>
      <c r="H419" s="142"/>
      <c r="I419" s="142"/>
      <c r="J419" s="469" t="str">
        <f aca="false">O419</f>
        <v> </v>
      </c>
      <c r="K419" s="475"/>
      <c r="L419" s="379"/>
      <c r="M419" s="471" t="n">
        <f aca="false">IF(E419=" ",0,IF(G417="x","9%",IF(E417="-","8%",0)))</f>
        <v>0</v>
      </c>
      <c r="N419" s="472" t="n">
        <v>0.08</v>
      </c>
      <c r="O419" s="425" t="str">
        <f aca="false">IF(E419&lt;&gt;" ",IF(K390&gt;55,P419,N419)," ")</f>
        <v> </v>
      </c>
      <c r="P419" s="472" t="n">
        <v>0.09</v>
      </c>
    </row>
    <row r="420" customFormat="false" ht="5.1" hidden="false" customHeight="true" outlineLevel="0" collapsed="false">
      <c r="A420" s="167"/>
      <c r="B420" s="295"/>
      <c r="C420" s="142"/>
      <c r="D420" s="142"/>
      <c r="E420" s="105"/>
      <c r="F420" s="205"/>
      <c r="G420" s="142"/>
      <c r="H420" s="142"/>
      <c r="I420" s="142"/>
      <c r="J420" s="156"/>
      <c r="K420" s="142"/>
      <c r="L420" s="379"/>
      <c r="M420" s="471"/>
    </row>
    <row r="421" customFormat="false" ht="13.2" hidden="false" customHeight="true" outlineLevel="0" collapsed="false">
      <c r="A421" s="167"/>
      <c r="B421" s="295" t="s">
        <v>323</v>
      </c>
      <c r="C421" s="403" t="str">
        <f aca="false">IF(K388&gt;130,"-",IF(K388&lt;110,"-",IF(K388&lt;130,"X",0)))</f>
        <v>-</v>
      </c>
      <c r="D421" s="142"/>
      <c r="E421" s="470" t="str">
        <f aca="false">IF($C$49="X"," ",IF(C421="X",N421,IF(C421="-"," ",0)))</f>
        <v> </v>
      </c>
      <c r="F421" s="205" t="s">
        <v>324</v>
      </c>
      <c r="G421" s="403" t="str">
        <f aca="false">IF(K390&gt;50,"-",IF(K390&gt;45,"X","-"))</f>
        <v>-</v>
      </c>
      <c r="H421" s="142"/>
      <c r="I421" s="142"/>
      <c r="J421" s="469" t="str">
        <f aca="false">O421</f>
        <v> </v>
      </c>
      <c r="K421" s="475"/>
      <c r="L421" s="379"/>
      <c r="M421" s="471" t="n">
        <f aca="false">IF(E421=" ",0,IF(G419="x","9%",IF(G417="x","9%",IF(E421="8%","8%",0))))</f>
        <v>0</v>
      </c>
      <c r="N421" s="472" t="n">
        <v>0.08</v>
      </c>
      <c r="O421" s="425" t="str">
        <f aca="false">IF(E421&lt;&gt;" ",IF(K390&gt;50,P421,N421)," ")</f>
        <v> </v>
      </c>
      <c r="P421" s="472" t="n">
        <v>0.09</v>
      </c>
    </row>
    <row r="422" customFormat="false" ht="5.1" hidden="false" customHeight="true" outlineLevel="0" collapsed="false">
      <c r="A422" s="167"/>
      <c r="B422" s="295"/>
      <c r="C422" s="142"/>
      <c r="D422" s="142"/>
      <c r="E422" s="105"/>
      <c r="F422" s="205"/>
      <c r="G422" s="142"/>
      <c r="H422" s="142"/>
      <c r="I422" s="142"/>
      <c r="J422" s="156"/>
      <c r="K422" s="142"/>
      <c r="L422" s="379"/>
      <c r="M422" s="471"/>
    </row>
    <row r="423" customFormat="false" ht="13.2" hidden="false" customHeight="true" outlineLevel="0" collapsed="false">
      <c r="A423" s="167"/>
      <c r="B423" s="295" t="s">
        <v>325</v>
      </c>
      <c r="C423" s="403" t="str">
        <f aca="false">IF(K388&gt;110,"-",IF(K388&lt;95,"-",IF(K388&lt;110,"X",0)))</f>
        <v>-</v>
      </c>
      <c r="D423" s="142"/>
      <c r="E423" s="470" t="str">
        <f aca="false">IF($C$49="X"," ",IF(C423="X",N423,IF(C423="-"," ",0)))</f>
        <v> </v>
      </c>
      <c r="F423" s="205" t="s">
        <v>326</v>
      </c>
      <c r="G423" s="403" t="str">
        <f aca="false">IF(K390&gt;45,"-",IF(K390&gt;40,"X","-"))</f>
        <v>-</v>
      </c>
      <c r="H423" s="142"/>
      <c r="I423" s="142"/>
      <c r="J423" s="469" t="str">
        <f aca="false">O423</f>
        <v> </v>
      </c>
      <c r="K423" s="475"/>
      <c r="L423" s="379"/>
      <c r="M423" s="471" t="n">
        <f aca="false">IF(E423=" ",0,IF(G421="x","8%",IF(G419="x","8%",IF(G417="x","8%",IF(E423="7%","7%",0)))))</f>
        <v>0</v>
      </c>
      <c r="N423" s="472" t="n">
        <v>0.07</v>
      </c>
      <c r="O423" s="425" t="str">
        <f aca="false">IF(E423&lt;&gt;" ",IF(K390&gt;45,P423,N423)," ")</f>
        <v> </v>
      </c>
      <c r="P423" s="472" t="n">
        <v>0.08</v>
      </c>
    </row>
    <row r="424" customFormat="false" ht="5.1" hidden="false" customHeight="true" outlineLevel="0" collapsed="false">
      <c r="A424" s="167"/>
      <c r="B424" s="295"/>
      <c r="C424" s="142"/>
      <c r="D424" s="142"/>
      <c r="E424" s="105"/>
      <c r="F424" s="205"/>
      <c r="G424" s="142"/>
      <c r="H424" s="142"/>
      <c r="I424" s="142"/>
      <c r="J424" s="156"/>
      <c r="K424" s="142"/>
      <c r="L424" s="379"/>
      <c r="M424" s="474"/>
    </row>
    <row r="425" customFormat="false" ht="13.2" hidden="false" customHeight="true" outlineLevel="0" collapsed="false">
      <c r="A425" s="167"/>
      <c r="B425" s="295" t="s">
        <v>327</v>
      </c>
      <c r="C425" s="403" t="str">
        <f aca="false">IF(K388&lt;95,"X","-")</f>
        <v>X</v>
      </c>
      <c r="D425" s="142"/>
      <c r="E425" s="469" t="n">
        <f aca="false">IF($C$49="X"," ",IF(C425="X",N425,IF(C425="-"," ",0)))</f>
        <v>0.07</v>
      </c>
      <c r="F425" s="205" t="s">
        <v>328</v>
      </c>
      <c r="G425" s="403" t="str">
        <f aca="false">IF(K390&lt;=40,"X","-")</f>
        <v>X</v>
      </c>
      <c r="H425" s="142"/>
      <c r="I425" s="142"/>
      <c r="J425" s="469" t="n">
        <f aca="false">O425</f>
        <v>0.07</v>
      </c>
      <c r="K425" s="475"/>
      <c r="L425" s="379"/>
      <c r="M425" s="471" t="n">
        <f aca="false">IF(E425=" ",0,IF(G423="x","8%",IF(G421="x","8%",IF(G419="x","8%",IF(G417="x","8%",IF(E425="7%","7%",0))))))</f>
        <v>0</v>
      </c>
      <c r="N425" s="472" t="n">
        <v>0.07</v>
      </c>
      <c r="O425" s="472" t="n">
        <f aca="false">IF(E425&lt;&gt;" ",IF(K390&gt;40,P425,N425)," ")</f>
        <v>0.07</v>
      </c>
      <c r="P425" s="472" t="n">
        <v>0.08</v>
      </c>
    </row>
    <row r="426" customFormat="false" ht="5.1" hidden="false" customHeight="true" outlineLevel="0" collapsed="false">
      <c r="A426" s="167"/>
      <c r="B426" s="142"/>
      <c r="C426" s="142"/>
      <c r="D426" s="142"/>
      <c r="E426" s="105"/>
      <c r="K426" s="142"/>
      <c r="L426" s="379"/>
      <c r="M426" s="474"/>
    </row>
    <row r="427" customFormat="false" ht="13.2" hidden="false" customHeight="true" outlineLevel="0" collapsed="false">
      <c r="A427" s="167"/>
      <c r="B427" s="295" t="s">
        <v>329</v>
      </c>
      <c r="C427" s="476"/>
      <c r="D427" s="142"/>
      <c r="E427" s="475" t="str">
        <f aca="false">IF(C427="X",N427," ")</f>
        <v> </v>
      </c>
      <c r="J427" s="477" t="str">
        <f aca="false">E427</f>
        <v> </v>
      </c>
      <c r="K427" s="475" t="s">
        <v>330</v>
      </c>
      <c r="L427" s="379"/>
      <c r="M427" s="471" t="n">
        <f aca="false">IF(J427=" ",0,IF(J427="10%",0.1,0))</f>
        <v>0</v>
      </c>
      <c r="N427" s="472" t="n">
        <v>0.1</v>
      </c>
    </row>
    <row r="428" customFormat="false" ht="9" hidden="false" customHeight="true" outlineLevel="0" collapsed="false">
      <c r="A428" s="167"/>
      <c r="B428" s="142"/>
      <c r="C428" s="142"/>
      <c r="D428" s="142"/>
      <c r="E428" s="142"/>
      <c r="F428" s="142"/>
      <c r="G428" s="142"/>
      <c r="H428" s="142"/>
      <c r="I428" s="142"/>
      <c r="J428" s="142"/>
      <c r="K428" s="142"/>
      <c r="L428" s="379"/>
      <c r="M428" s="471" t="n">
        <f aca="false">M417+M419+M421+M423+M425+M427</f>
        <v>0</v>
      </c>
    </row>
    <row r="429" customFormat="false" ht="6" hidden="false" customHeight="true" outlineLevel="0" collapsed="false">
      <c r="A429" s="167"/>
      <c r="B429" s="142"/>
      <c r="C429" s="142"/>
      <c r="D429" s="142"/>
      <c r="E429" s="142"/>
      <c r="F429" s="142"/>
      <c r="G429" s="142"/>
      <c r="H429" s="142"/>
      <c r="I429" s="142"/>
      <c r="J429" s="142"/>
      <c r="K429" s="142"/>
      <c r="L429" s="379"/>
      <c r="M429" s="318"/>
    </row>
    <row r="430" customFormat="false" ht="12.75" hidden="false" customHeight="true" outlineLevel="0" collapsed="false">
      <c r="A430" s="167"/>
      <c r="B430" s="142" t="s">
        <v>331</v>
      </c>
      <c r="C430" s="142"/>
      <c r="D430" s="142"/>
      <c r="E430" s="142"/>
      <c r="F430" s="142"/>
      <c r="G430" s="476"/>
      <c r="H430" s="142"/>
      <c r="I430" s="142"/>
      <c r="J430" s="142"/>
      <c r="K430" s="142"/>
      <c r="L430" s="379"/>
      <c r="M430" s="318"/>
      <c r="N430" s="425" t="n">
        <f aca="false">IF(G430="X",1,0)</f>
        <v>0</v>
      </c>
    </row>
    <row r="431" customFormat="false" ht="6" hidden="false" customHeight="true" outlineLevel="0" collapsed="false">
      <c r="A431" s="167"/>
      <c r="B431" s="142"/>
      <c r="C431" s="142"/>
      <c r="D431" s="142"/>
      <c r="E431" s="142"/>
      <c r="F431" s="142"/>
      <c r="G431" s="295"/>
      <c r="H431" s="142"/>
      <c r="I431" s="142"/>
      <c r="J431" s="142"/>
      <c r="K431" s="142"/>
      <c r="L431" s="379"/>
      <c r="M431" s="318"/>
    </row>
    <row r="432" customFormat="false" ht="13.2" hidden="false" customHeight="true" outlineLevel="0" collapsed="false">
      <c r="A432" s="167"/>
      <c r="B432" s="142" t="s">
        <v>332</v>
      </c>
      <c r="C432" s="142"/>
      <c r="D432" s="142"/>
      <c r="E432" s="142"/>
      <c r="F432" s="142"/>
      <c r="G432" s="476" t="s">
        <v>238</v>
      </c>
      <c r="H432" s="142"/>
      <c r="I432" s="142"/>
      <c r="J432" s="142"/>
      <c r="K432" s="142"/>
      <c r="L432" s="379"/>
      <c r="M432" s="318"/>
      <c r="N432" s="425" t="n">
        <f aca="false">IF(G432="X",1,0)</f>
        <v>0</v>
      </c>
    </row>
    <row r="433" customFormat="false" ht="5.1" hidden="false" customHeight="true" outlineLevel="0" collapsed="false">
      <c r="A433" s="167"/>
      <c r="B433" s="142"/>
      <c r="C433" s="142"/>
      <c r="D433" s="142"/>
      <c r="E433" s="142"/>
      <c r="F433" s="142"/>
      <c r="G433" s="295"/>
      <c r="H433" s="142"/>
      <c r="I433" s="142"/>
      <c r="J433" s="142"/>
      <c r="K433" s="142"/>
      <c r="L433" s="379"/>
      <c r="M433" s="318"/>
    </row>
    <row r="434" customFormat="false" ht="12.75" hidden="false" customHeight="true" outlineLevel="0" collapsed="false">
      <c r="A434" s="167"/>
      <c r="B434" s="142" t="s">
        <v>333</v>
      </c>
      <c r="C434" s="142"/>
      <c r="D434" s="142"/>
      <c r="E434" s="142"/>
      <c r="F434" s="142"/>
      <c r="G434" s="476"/>
      <c r="H434" s="142"/>
      <c r="I434" s="142"/>
      <c r="J434" s="142"/>
      <c r="K434" s="142"/>
      <c r="L434" s="379"/>
      <c r="M434" s="318"/>
      <c r="N434" s="425" t="n">
        <f aca="false">IF(G434="X",1,0)</f>
        <v>0</v>
      </c>
    </row>
    <row r="435" customFormat="false" ht="4.5" hidden="false" customHeight="true" outlineLevel="0" collapsed="false">
      <c r="A435" s="167"/>
      <c r="B435" s="142"/>
      <c r="C435" s="142"/>
      <c r="D435" s="142"/>
      <c r="E435" s="142"/>
      <c r="F435" s="142"/>
      <c r="G435" s="142"/>
      <c r="H435" s="142"/>
      <c r="I435" s="142"/>
      <c r="J435" s="142"/>
      <c r="K435" s="142"/>
      <c r="L435" s="379"/>
      <c r="M435" s="318"/>
    </row>
    <row r="436" customFormat="false" ht="15" hidden="false" customHeight="true" outlineLevel="0" collapsed="false">
      <c r="A436" s="167"/>
      <c r="B436" s="142" t="s">
        <v>334</v>
      </c>
      <c r="C436" s="142"/>
      <c r="D436" s="142"/>
      <c r="E436" s="142"/>
      <c r="F436" s="142"/>
      <c r="G436" s="142"/>
      <c r="H436" s="142"/>
      <c r="I436" s="142"/>
      <c r="J436" s="142"/>
      <c r="K436" s="478" t="n">
        <f aca="false">IF(N436&gt;0,O436-0.01,O436)</f>
        <v>0.07</v>
      </c>
      <c r="L436" s="478"/>
      <c r="M436" s="318"/>
      <c r="N436" s="425" t="n">
        <f aca="false">N430+N432+N434</f>
        <v>0</v>
      </c>
      <c r="O436" s="473" t="n">
        <f aca="false">IF(J427&lt;&gt;" ",J427,P413)</f>
        <v>0.07</v>
      </c>
    </row>
    <row r="437" customFormat="false" ht="4.5" hidden="false" customHeight="true" outlineLevel="0" collapsed="false">
      <c r="A437" s="167"/>
      <c r="B437" s="142"/>
      <c r="C437" s="142"/>
      <c r="D437" s="142"/>
      <c r="E437" s="142"/>
      <c r="F437" s="142"/>
      <c r="G437" s="142"/>
      <c r="H437" s="142"/>
      <c r="I437" s="142"/>
      <c r="J437" s="142"/>
      <c r="K437" s="142"/>
      <c r="L437" s="379"/>
      <c r="M437" s="318"/>
    </row>
    <row r="438" customFormat="false" ht="4.5" hidden="false" customHeight="true" outlineLevel="0" collapsed="false">
      <c r="A438" s="167"/>
      <c r="B438" s="142"/>
      <c r="C438" s="142"/>
      <c r="D438" s="142"/>
      <c r="E438" s="142"/>
      <c r="F438" s="142"/>
      <c r="G438" s="142"/>
      <c r="H438" s="142"/>
      <c r="I438" s="142"/>
      <c r="J438" s="142"/>
      <c r="K438" s="142"/>
      <c r="L438" s="379"/>
      <c r="M438" s="318"/>
    </row>
    <row r="439" customFormat="false" ht="12.75" hidden="false" customHeight="true" outlineLevel="0" collapsed="false">
      <c r="A439" s="467" t="s">
        <v>335</v>
      </c>
      <c r="B439" s="467"/>
      <c r="C439" s="467"/>
      <c r="D439" s="467"/>
      <c r="E439" s="467"/>
      <c r="F439" s="467"/>
      <c r="G439" s="467"/>
      <c r="H439" s="467"/>
      <c r="I439" s="467"/>
      <c r="J439" s="467"/>
      <c r="K439" s="467"/>
      <c r="L439" s="467"/>
      <c r="M439" s="318"/>
    </row>
    <row r="440" customFormat="false" ht="6" hidden="false" customHeight="true" outlineLevel="0" collapsed="false">
      <c r="A440" s="167"/>
      <c r="B440" s="142"/>
      <c r="C440" s="142"/>
      <c r="D440" s="142"/>
      <c r="E440" s="142"/>
      <c r="F440" s="142"/>
      <c r="G440" s="142"/>
      <c r="H440" s="142"/>
      <c r="I440" s="142"/>
      <c r="J440" s="142"/>
      <c r="K440" s="142"/>
      <c r="L440" s="379"/>
      <c r="M440" s="318"/>
    </row>
    <row r="441" customFormat="false" ht="18" hidden="false" customHeight="true" outlineLevel="0" collapsed="false">
      <c r="A441" s="167"/>
      <c r="B441" s="142" t="s">
        <v>336</v>
      </c>
      <c r="C441" s="142"/>
      <c r="D441" s="142"/>
      <c r="E441" s="142"/>
      <c r="F441" s="142"/>
      <c r="G441" s="142"/>
      <c r="H441" s="142" t="s">
        <v>169</v>
      </c>
      <c r="I441" s="479" t="n">
        <f aca="false">K407</f>
        <v>0</v>
      </c>
      <c r="J441" s="479"/>
      <c r="K441" s="479"/>
      <c r="L441" s="479"/>
      <c r="M441" s="318"/>
    </row>
    <row r="442" customFormat="false" ht="5.1" hidden="false" customHeight="true" outlineLevel="0" collapsed="false">
      <c r="A442" s="167"/>
      <c r="B442" s="142"/>
      <c r="C442" s="142"/>
      <c r="D442" s="142"/>
      <c r="E442" s="142"/>
      <c r="F442" s="142"/>
      <c r="G442" s="142"/>
      <c r="H442" s="142"/>
      <c r="I442" s="142"/>
      <c r="J442" s="142"/>
      <c r="K442" s="142"/>
      <c r="L442" s="379"/>
      <c r="M442" s="318"/>
    </row>
    <row r="443" customFormat="false" ht="18" hidden="false" customHeight="true" outlineLevel="0" collapsed="false">
      <c r="A443" s="167"/>
      <c r="B443" s="142" t="s">
        <v>337</v>
      </c>
      <c r="C443" s="142"/>
      <c r="D443" s="142"/>
      <c r="E443" s="142"/>
      <c r="F443" s="142"/>
      <c r="G443" s="142"/>
      <c r="H443" s="142" t="s">
        <v>338</v>
      </c>
      <c r="I443" s="480" t="n">
        <f aca="false">K436</f>
        <v>0.07</v>
      </c>
      <c r="J443" s="480"/>
      <c r="K443" s="480"/>
      <c r="L443" s="480"/>
      <c r="M443" s="318"/>
    </row>
    <row r="444" customFormat="false" ht="5.1" hidden="false" customHeight="true" outlineLevel="0" collapsed="false">
      <c r="A444" s="167"/>
      <c r="B444" s="142"/>
      <c r="C444" s="142"/>
      <c r="D444" s="142"/>
      <c r="E444" s="142"/>
      <c r="F444" s="142"/>
      <c r="G444" s="142"/>
      <c r="H444" s="142"/>
      <c r="I444" s="142"/>
      <c r="J444" s="142"/>
      <c r="K444" s="142"/>
      <c r="L444" s="379"/>
      <c r="M444" s="318"/>
    </row>
    <row r="445" customFormat="false" ht="18" hidden="false" customHeight="true" outlineLevel="0" collapsed="false">
      <c r="A445" s="481"/>
      <c r="B445" s="197" t="s">
        <v>339</v>
      </c>
      <c r="C445" s="197"/>
      <c r="D445" s="197"/>
      <c r="E445" s="197"/>
      <c r="F445" s="197"/>
      <c r="G445" s="197"/>
      <c r="H445" s="197" t="s">
        <v>169</v>
      </c>
      <c r="I445" s="482" t="n">
        <f aca="false">I441*I443</f>
        <v>0</v>
      </c>
      <c r="J445" s="482"/>
      <c r="K445" s="482"/>
      <c r="L445" s="482"/>
      <c r="M445" s="318"/>
    </row>
    <row r="446" s="112" customFormat="true" ht="28.35" hidden="false" customHeight="true" outlineLevel="0" collapsed="false">
      <c r="A446" s="483"/>
      <c r="B446" s="484"/>
      <c r="C446" s="484"/>
      <c r="D446" s="484"/>
      <c r="E446" s="484"/>
      <c r="F446" s="484"/>
      <c r="G446" s="484"/>
      <c r="H446" s="484"/>
      <c r="I446" s="484"/>
      <c r="J446" s="484"/>
      <c r="K446" s="484"/>
      <c r="L446" s="485"/>
      <c r="M446" s="430"/>
      <c r="N446" s="118"/>
      <c r="O446" s="118"/>
      <c r="P446" s="118"/>
      <c r="Q446" s="118"/>
      <c r="R446" s="118"/>
    </row>
    <row r="447" s="112" customFormat="true" ht="18" hidden="false" customHeight="true" outlineLevel="0" collapsed="false">
      <c r="A447" s="432" t="s">
        <v>341</v>
      </c>
      <c r="B447" s="209"/>
      <c r="C447" s="209"/>
      <c r="D447" s="209"/>
      <c r="E447" s="209"/>
      <c r="F447" s="434" t="s">
        <v>162</v>
      </c>
      <c r="G447" s="211"/>
      <c r="H447" s="211"/>
      <c r="I447" s="123"/>
      <c r="J447" s="436"/>
      <c r="K447" s="434" t="s">
        <v>297</v>
      </c>
      <c r="L447" s="437"/>
      <c r="M447" s="430"/>
      <c r="N447" s="118"/>
      <c r="O447" s="118"/>
      <c r="P447" s="118"/>
      <c r="Q447" s="118"/>
      <c r="R447" s="118"/>
    </row>
    <row r="448" s="112" customFormat="true" ht="9.75" hidden="false" customHeight="true" outlineLevel="0" collapsed="false">
      <c r="A448" s="438"/>
      <c r="B448" s="439"/>
      <c r="C448" s="440"/>
      <c r="D448" s="440"/>
      <c r="E448" s="123"/>
      <c r="F448" s="440"/>
      <c r="G448" s="434"/>
      <c r="H448" s="440"/>
      <c r="I448" s="123"/>
      <c r="J448" s="434"/>
      <c r="K448" s="441"/>
      <c r="L448" s="488"/>
      <c r="M448" s="430"/>
      <c r="N448" s="118"/>
      <c r="O448" s="118"/>
      <c r="P448" s="118"/>
      <c r="Q448" s="118"/>
      <c r="R448" s="118"/>
    </row>
    <row r="449" customFormat="false" ht="13.2" hidden="false" customHeight="true" outlineLevel="0" collapsed="false">
      <c r="A449" s="442" t="s">
        <v>298</v>
      </c>
      <c r="B449" s="442"/>
      <c r="C449" s="442"/>
      <c r="D449" s="442"/>
      <c r="E449" s="442"/>
      <c r="F449" s="442"/>
      <c r="G449" s="442"/>
      <c r="H449" s="442"/>
      <c r="I449" s="442"/>
      <c r="J449" s="442"/>
      <c r="K449" s="442"/>
      <c r="L449" s="442"/>
      <c r="M449" s="318"/>
    </row>
    <row r="450" customFormat="false" ht="9" hidden="false" customHeight="true" outlineLevel="0" collapsed="false">
      <c r="A450" s="443"/>
      <c r="B450" s="444"/>
      <c r="C450" s="101"/>
      <c r="D450" s="101"/>
      <c r="E450" s="101"/>
      <c r="F450" s="101"/>
      <c r="G450" s="101"/>
      <c r="H450" s="101"/>
      <c r="I450" s="101"/>
      <c r="J450" s="101"/>
      <c r="K450" s="101"/>
      <c r="L450" s="445"/>
    </row>
    <row r="451" customFormat="false" ht="12.75" hidden="false" customHeight="true" outlineLevel="0" collapsed="false">
      <c r="A451" s="443"/>
      <c r="B451" s="446" t="s">
        <v>299</v>
      </c>
      <c r="C451" s="101"/>
      <c r="D451" s="101"/>
      <c r="E451" s="101"/>
      <c r="F451" s="101"/>
      <c r="G451" s="101"/>
      <c r="H451" s="101"/>
      <c r="I451" s="101"/>
      <c r="J451" s="101"/>
      <c r="K451" s="447"/>
      <c r="L451" s="448"/>
    </row>
    <row r="452" customFormat="false" ht="9" hidden="false" customHeight="true" outlineLevel="0" collapsed="false">
      <c r="A452" s="443"/>
      <c r="B452" s="444"/>
      <c r="C452" s="101"/>
      <c r="D452" s="101"/>
      <c r="E452" s="101"/>
      <c r="F452" s="101"/>
      <c r="G452" s="101"/>
      <c r="H452" s="101"/>
      <c r="I452" s="101"/>
      <c r="J452" s="101"/>
      <c r="K452" s="449"/>
      <c r="L452" s="448"/>
    </row>
    <row r="453" customFormat="false" ht="12.75" hidden="false" customHeight="true" outlineLevel="0" collapsed="false">
      <c r="A453" s="443"/>
      <c r="B453" s="446" t="s">
        <v>300</v>
      </c>
      <c r="C453" s="101"/>
      <c r="D453" s="101"/>
      <c r="E453" s="101"/>
      <c r="F453" s="101"/>
      <c r="G453" s="101"/>
      <c r="H453" s="101"/>
      <c r="I453" s="101"/>
      <c r="J453" s="101"/>
      <c r="K453" s="447"/>
      <c r="L453" s="448"/>
    </row>
    <row r="454" customFormat="false" ht="6.75" hidden="false" customHeight="true" outlineLevel="0" collapsed="false">
      <c r="A454" s="443"/>
      <c r="B454" s="444"/>
      <c r="C454" s="101"/>
      <c r="D454" s="101"/>
      <c r="E454" s="101"/>
      <c r="F454" s="101"/>
      <c r="G454" s="101"/>
      <c r="H454" s="101"/>
      <c r="I454" s="101"/>
      <c r="J454" s="101"/>
      <c r="K454" s="101"/>
      <c r="L454" s="450"/>
    </row>
    <row r="455" customFormat="false" ht="12.75" hidden="false" customHeight="true" outlineLevel="0" collapsed="false">
      <c r="A455" s="443" t="s">
        <v>301</v>
      </c>
      <c r="B455" s="101" t="s">
        <v>302</v>
      </c>
      <c r="C455" s="101"/>
      <c r="D455" s="101"/>
      <c r="E455" s="101"/>
      <c r="F455" s="101"/>
      <c r="G455" s="101"/>
      <c r="H455" s="101"/>
      <c r="I455" s="101"/>
      <c r="J455" s="444" t="s">
        <v>205</v>
      </c>
      <c r="K455" s="447"/>
      <c r="L455" s="448"/>
      <c r="M455" s="318"/>
    </row>
    <row r="456" customFormat="false" ht="9" hidden="false" customHeight="true" outlineLevel="0" collapsed="false">
      <c r="A456" s="443"/>
      <c r="B456" s="101"/>
      <c r="C456" s="101"/>
      <c r="D456" s="101"/>
      <c r="E456" s="101"/>
      <c r="F456" s="101"/>
      <c r="G456" s="101"/>
      <c r="H456" s="101"/>
      <c r="I456" s="101"/>
      <c r="J456" s="444"/>
      <c r="K456" s="101"/>
      <c r="L456" s="450"/>
      <c r="M456" s="318"/>
    </row>
    <row r="457" customFormat="false" ht="12.75" hidden="false" customHeight="true" outlineLevel="0" collapsed="false">
      <c r="A457" s="443"/>
      <c r="B457" s="451" t="s">
        <v>303</v>
      </c>
      <c r="C457" s="451"/>
      <c r="D457" s="451"/>
      <c r="E457" s="101"/>
      <c r="F457" s="101"/>
      <c r="G457" s="101"/>
      <c r="H457" s="101"/>
      <c r="I457" s="101"/>
      <c r="J457" s="444"/>
      <c r="K457" s="101"/>
      <c r="L457" s="452"/>
      <c r="M457" s="318"/>
    </row>
    <row r="458" customFormat="false" ht="12.75" hidden="false" customHeight="true" outlineLevel="0" collapsed="false">
      <c r="A458" s="453" t="s">
        <v>304</v>
      </c>
      <c r="B458" s="451"/>
      <c r="C458" s="451"/>
      <c r="D458" s="451"/>
      <c r="E458" s="101" t="s">
        <v>205</v>
      </c>
      <c r="F458" s="454"/>
      <c r="G458" s="444" t="s">
        <v>305</v>
      </c>
      <c r="H458" s="101" t="n">
        <v>0.6</v>
      </c>
      <c r="I458" s="101" t="s">
        <v>306</v>
      </c>
      <c r="J458" s="444" t="s">
        <v>205</v>
      </c>
      <c r="K458" s="455" t="n">
        <f aca="false">IF(F458&gt;0,F458*H458,0)</f>
        <v>0</v>
      </c>
      <c r="L458" s="456"/>
      <c r="M458" s="318"/>
    </row>
    <row r="459" customFormat="false" ht="6" hidden="false" customHeight="true" outlineLevel="0" collapsed="false">
      <c r="A459" s="443"/>
      <c r="B459" s="101"/>
      <c r="C459" s="101"/>
      <c r="D459" s="101"/>
      <c r="E459" s="101"/>
      <c r="F459" s="101"/>
      <c r="G459" s="101"/>
      <c r="H459" s="101"/>
      <c r="I459" s="101"/>
      <c r="J459" s="444"/>
      <c r="K459" s="101"/>
      <c r="L459" s="450"/>
      <c r="M459" s="318"/>
    </row>
    <row r="460" customFormat="false" ht="13.2" hidden="false" customHeight="true" outlineLevel="0" collapsed="false">
      <c r="A460" s="443"/>
      <c r="B460" s="101"/>
      <c r="C460" s="101"/>
      <c r="D460" s="101"/>
      <c r="E460" s="101"/>
      <c r="F460" s="101"/>
      <c r="G460" s="101"/>
      <c r="H460" s="101"/>
      <c r="I460" s="101"/>
      <c r="J460" s="444"/>
      <c r="K460" s="101"/>
      <c r="L460" s="450"/>
      <c r="M460" s="318"/>
    </row>
    <row r="461" customFormat="false" ht="12.75" hidden="false" customHeight="true" outlineLevel="0" collapsed="false">
      <c r="A461" s="443"/>
      <c r="B461" s="157"/>
      <c r="C461" s="101"/>
      <c r="D461" s="101"/>
      <c r="E461" s="101"/>
      <c r="F461" s="101"/>
      <c r="G461" s="101"/>
      <c r="H461" s="101"/>
      <c r="I461" s="101"/>
      <c r="J461" s="444"/>
      <c r="K461" s="457"/>
      <c r="L461" s="448"/>
      <c r="M461" s="318"/>
    </row>
    <row r="462" customFormat="false" ht="8.25" hidden="false" customHeight="true" outlineLevel="0" collapsed="false">
      <c r="A462" s="443"/>
      <c r="B462" s="157"/>
      <c r="C462" s="101"/>
      <c r="D462" s="101"/>
      <c r="E462" s="101"/>
      <c r="F462" s="101"/>
      <c r="G462" s="101"/>
      <c r="H462" s="101"/>
      <c r="I462" s="101"/>
      <c r="J462" s="444"/>
      <c r="K462" s="101"/>
      <c r="L462" s="450"/>
      <c r="M462" s="318"/>
    </row>
    <row r="463" customFormat="false" ht="12.75" hidden="false" customHeight="true" outlineLevel="0" collapsed="false">
      <c r="A463" s="443" t="s">
        <v>307</v>
      </c>
      <c r="B463" s="101" t="s">
        <v>308</v>
      </c>
      <c r="C463" s="101"/>
      <c r="D463" s="101"/>
      <c r="E463" s="101"/>
      <c r="F463" s="101"/>
      <c r="G463" s="101"/>
      <c r="H463" s="101"/>
      <c r="I463" s="101"/>
      <c r="J463" s="444" t="s">
        <v>205</v>
      </c>
      <c r="K463" s="458" t="n">
        <f aca="false">K455+K458+K461</f>
        <v>0</v>
      </c>
      <c r="L463" s="459"/>
      <c r="M463" s="318"/>
    </row>
    <row r="464" customFormat="false" ht="8.25" hidden="false" customHeight="true" outlineLevel="0" collapsed="false">
      <c r="A464" s="443"/>
      <c r="B464" s="101"/>
      <c r="C464" s="101"/>
      <c r="D464" s="101"/>
      <c r="E464" s="101"/>
      <c r="F464" s="101"/>
      <c r="G464" s="101"/>
      <c r="H464" s="101"/>
      <c r="I464" s="101"/>
      <c r="J464" s="444"/>
      <c r="K464" s="101"/>
      <c r="L464" s="450"/>
      <c r="M464" s="318"/>
    </row>
    <row r="465" customFormat="false" ht="13.2" hidden="false" customHeight="true" outlineLevel="0" collapsed="false">
      <c r="A465" s="443" t="s">
        <v>309</v>
      </c>
      <c r="B465" s="101" t="s">
        <v>310</v>
      </c>
      <c r="C465" s="101"/>
      <c r="D465" s="101"/>
      <c r="E465" s="101"/>
      <c r="F465" s="101"/>
      <c r="G465" s="101"/>
      <c r="H465" s="101"/>
      <c r="I465" s="101"/>
      <c r="J465" s="444"/>
      <c r="K465" s="101"/>
      <c r="L465" s="450"/>
      <c r="M465" s="318"/>
    </row>
    <row r="466" customFormat="false" ht="12.75" hidden="false" customHeight="true" outlineLevel="0" collapsed="false">
      <c r="A466" s="443"/>
      <c r="B466" s="157" t="s">
        <v>311</v>
      </c>
      <c r="C466" s="101"/>
      <c r="D466" s="101"/>
      <c r="E466" s="101"/>
      <c r="F466" s="101"/>
      <c r="G466" s="101"/>
      <c r="H466" s="101"/>
      <c r="I466" s="101"/>
      <c r="J466" s="444" t="s">
        <v>206</v>
      </c>
      <c r="K466" s="455" t="n">
        <f aca="false">('costo-mq'!$O$82)/2</f>
        <v>156.36555</v>
      </c>
      <c r="L466" s="456"/>
    </row>
    <row r="467" customFormat="false" ht="6" hidden="false" customHeight="true" outlineLevel="0" collapsed="false">
      <c r="A467" s="443"/>
      <c r="B467" s="101"/>
      <c r="C467" s="101"/>
      <c r="D467" s="101"/>
      <c r="E467" s="101"/>
      <c r="F467" s="101"/>
      <c r="G467" s="101"/>
      <c r="H467" s="101"/>
      <c r="I467" s="101"/>
      <c r="J467" s="444"/>
      <c r="K467" s="154"/>
      <c r="L467" s="460"/>
      <c r="M467" s="318"/>
    </row>
    <row r="468" customFormat="false" ht="18" hidden="false" customHeight="true" outlineLevel="0" collapsed="false">
      <c r="A468" s="443"/>
      <c r="B468" s="101"/>
      <c r="C468" s="101"/>
      <c r="D468" s="101"/>
      <c r="E468" s="101"/>
      <c r="F468" s="101"/>
      <c r="G468" s="101"/>
      <c r="H468" s="461"/>
      <c r="I468" s="101"/>
      <c r="J468" s="444"/>
      <c r="K468" s="154"/>
      <c r="L468" s="460"/>
      <c r="M468" s="462"/>
    </row>
    <row r="469" customFormat="false" ht="6" hidden="false" customHeight="true" outlineLevel="0" collapsed="false">
      <c r="A469" s="443"/>
      <c r="B469" s="101"/>
      <c r="C469" s="101"/>
      <c r="D469" s="101"/>
      <c r="E469" s="101"/>
      <c r="F469" s="101"/>
      <c r="G469" s="101"/>
      <c r="H469" s="101"/>
      <c r="I469" s="101"/>
      <c r="J469" s="444"/>
      <c r="K469" s="154"/>
      <c r="L469" s="463"/>
      <c r="M469" s="318"/>
    </row>
    <row r="470" customFormat="false" ht="12.75" hidden="false" customHeight="true" outlineLevel="0" collapsed="false">
      <c r="A470" s="443" t="s">
        <v>312</v>
      </c>
      <c r="B470" s="464" t="s">
        <v>313</v>
      </c>
      <c r="C470" s="465"/>
      <c r="D470" s="465"/>
      <c r="E470" s="465"/>
      <c r="F470" s="465"/>
      <c r="G470" s="465"/>
      <c r="H470" s="465"/>
      <c r="I470" s="465"/>
      <c r="J470" s="466" t="s">
        <v>169</v>
      </c>
      <c r="K470" s="458" t="n">
        <f aca="false">K463*K466</f>
        <v>0</v>
      </c>
      <c r="L470" s="459"/>
      <c r="M470" s="318"/>
    </row>
    <row r="471" customFormat="false" ht="13.2" hidden="false" customHeight="true" outlineLevel="0" collapsed="false">
      <c r="A471" s="167"/>
      <c r="B471" s="142"/>
      <c r="C471" s="142"/>
      <c r="D471" s="142"/>
      <c r="E471" s="142"/>
      <c r="F471" s="142"/>
      <c r="G471" s="142"/>
      <c r="H471" s="142"/>
      <c r="I471" s="142"/>
      <c r="J471" s="142"/>
      <c r="K471" s="142"/>
      <c r="L471" s="379"/>
      <c r="M471" s="318"/>
    </row>
    <row r="472" customFormat="false" ht="5.1" hidden="false" customHeight="true" outlineLevel="0" collapsed="false">
      <c r="A472" s="167"/>
      <c r="B472" s="142"/>
      <c r="C472" s="142"/>
      <c r="D472" s="142"/>
      <c r="E472" s="142"/>
      <c r="F472" s="142"/>
      <c r="G472" s="142"/>
      <c r="H472" s="142"/>
      <c r="I472" s="142"/>
      <c r="J472" s="142"/>
      <c r="K472" s="142"/>
      <c r="L472" s="379"/>
      <c r="M472" s="318"/>
    </row>
    <row r="473" customFormat="false" ht="13.2" hidden="false" customHeight="true" outlineLevel="0" collapsed="false">
      <c r="A473" s="467" t="s">
        <v>314</v>
      </c>
      <c r="B473" s="467"/>
      <c r="C473" s="467"/>
      <c r="D473" s="467"/>
      <c r="E473" s="467"/>
      <c r="F473" s="467"/>
      <c r="G473" s="467"/>
      <c r="H473" s="467"/>
      <c r="I473" s="467"/>
      <c r="J473" s="467"/>
      <c r="K473" s="467"/>
      <c r="L473" s="467"/>
      <c r="M473" s="318"/>
    </row>
    <row r="474" customFormat="false" ht="5.1" hidden="false" customHeight="true" outlineLevel="0" collapsed="false">
      <c r="A474" s="167"/>
      <c r="B474" s="142"/>
      <c r="C474" s="142"/>
      <c r="D474" s="142"/>
      <c r="E474" s="142"/>
      <c r="F474" s="142"/>
      <c r="G474" s="142"/>
      <c r="H474" s="142"/>
      <c r="I474" s="142"/>
      <c r="J474" s="142"/>
      <c r="K474" s="142"/>
      <c r="L474" s="379"/>
      <c r="M474" s="318"/>
    </row>
    <row r="475" customFormat="false" ht="16.5" hidden="false" customHeight="true" outlineLevel="0" collapsed="false">
      <c r="A475" s="167"/>
      <c r="B475" s="352" t="s">
        <v>225</v>
      </c>
      <c r="C475" s="142"/>
      <c r="D475" s="383" t="s">
        <v>315</v>
      </c>
      <c r="E475" s="383"/>
      <c r="F475" s="388" t="s">
        <v>316</v>
      </c>
      <c r="G475" s="142"/>
      <c r="H475" s="142"/>
      <c r="I475" s="383" t="s">
        <v>317</v>
      </c>
      <c r="J475" s="383"/>
      <c r="K475" s="383"/>
      <c r="L475" s="379"/>
      <c r="M475" s="318"/>
    </row>
    <row r="476" customFormat="false" ht="11.25" hidden="false" customHeight="true" outlineLevel="0" collapsed="false">
      <c r="A476" s="167"/>
      <c r="B476" s="142"/>
      <c r="C476" s="142"/>
      <c r="D476" s="383"/>
      <c r="E476" s="383"/>
      <c r="F476" s="355"/>
      <c r="G476" s="142"/>
      <c r="H476" s="142"/>
      <c r="I476" s="383"/>
      <c r="J476" s="383"/>
      <c r="K476" s="383"/>
      <c r="L476" s="379"/>
      <c r="M476" s="318"/>
      <c r="N476" s="468" t="n">
        <f aca="false">SUM(E480:E490)</f>
        <v>0.07</v>
      </c>
      <c r="P476" s="468" t="n">
        <f aca="false">SUM(J478:J490)</f>
        <v>0.07</v>
      </c>
    </row>
    <row r="477" customFormat="false" ht="6" hidden="false" customHeight="true" outlineLevel="0" collapsed="false">
      <c r="A477" s="167"/>
      <c r="B477" s="142"/>
      <c r="C477" s="142"/>
      <c r="D477" s="383"/>
      <c r="E477" s="383"/>
      <c r="F477" s="355"/>
      <c r="G477" s="142"/>
      <c r="H477" s="142"/>
      <c r="I477" s="383"/>
      <c r="J477" s="383"/>
      <c r="K477" s="383"/>
      <c r="L477" s="379"/>
      <c r="M477" s="318"/>
    </row>
    <row r="478" customFormat="false" ht="13.5" hidden="false" customHeight="true" outlineLevel="0" collapsed="false">
      <c r="A478" s="167"/>
      <c r="B478" s="142"/>
      <c r="C478" s="142"/>
      <c r="D478" s="383"/>
      <c r="E478" s="383"/>
      <c r="F478" s="205" t="s">
        <v>318</v>
      </c>
      <c r="G478" s="403" t="str">
        <f aca="false">IF(K453&gt;60,"X","-")</f>
        <v>-</v>
      </c>
      <c r="H478" s="142"/>
      <c r="I478" s="142"/>
      <c r="J478" s="469"/>
      <c r="K478" s="383"/>
      <c r="L478" s="379"/>
      <c r="M478" s="318"/>
    </row>
    <row r="479" customFormat="false" ht="6" hidden="false" customHeight="true" outlineLevel="0" collapsed="false">
      <c r="A479" s="167"/>
      <c r="B479" s="142"/>
      <c r="C479" s="142"/>
      <c r="D479" s="142"/>
      <c r="E479" s="142"/>
      <c r="K479" s="142"/>
      <c r="L479" s="379"/>
      <c r="M479" s="318"/>
    </row>
    <row r="480" customFormat="false" ht="13.2" hidden="false" customHeight="true" outlineLevel="0" collapsed="false">
      <c r="A480" s="167"/>
      <c r="B480" s="295" t="s">
        <v>319</v>
      </c>
      <c r="C480" s="403" t="str">
        <f aca="false">IF(K451&gt;160,"X","-")</f>
        <v>-</v>
      </c>
      <c r="D480" s="142"/>
      <c r="E480" s="470" t="str">
        <f aca="false">IF($C$49="X"," ",IF(C480="X",N480,IF(C480="-"," ",0)))</f>
        <v> </v>
      </c>
      <c r="F480" s="205" t="s">
        <v>320</v>
      </c>
      <c r="G480" s="403" t="str">
        <f aca="false">IF(K453&gt;60,"-",IF(K453&gt;55,"X","-"))</f>
        <v>-</v>
      </c>
      <c r="H480" s="142"/>
      <c r="I480" s="142"/>
      <c r="J480" s="469" t="str">
        <f aca="false">O480</f>
        <v> </v>
      </c>
      <c r="L480" s="379"/>
      <c r="M480" s="471" t="n">
        <f aca="false">IF(E480=" ",0,IF(G480="x","9%",IF(G478="x","10%",0)))</f>
        <v>0</v>
      </c>
      <c r="N480" s="472" t="n">
        <v>0.09</v>
      </c>
      <c r="O480" s="473" t="str">
        <f aca="false">IF(E480&lt;&gt;" ",IF(K453&gt;60,P480,N480)," ")</f>
        <v> </v>
      </c>
      <c r="P480" s="472" t="n">
        <v>0.1</v>
      </c>
    </row>
    <row r="481" customFormat="false" ht="6" hidden="false" customHeight="true" outlineLevel="0" collapsed="false">
      <c r="A481" s="167"/>
      <c r="B481" s="295"/>
      <c r="C481" s="142"/>
      <c r="D481" s="142"/>
      <c r="E481" s="105"/>
      <c r="F481" s="205"/>
      <c r="G481" s="142"/>
      <c r="H481" s="142"/>
      <c r="I481" s="142"/>
      <c r="J481" s="156"/>
      <c r="L481" s="379"/>
      <c r="M481" s="474"/>
    </row>
    <row r="482" customFormat="false" ht="12.75" hidden="false" customHeight="true" outlineLevel="0" collapsed="false">
      <c r="A482" s="167"/>
      <c r="B482" s="295" t="s">
        <v>321</v>
      </c>
      <c r="C482" s="403" t="str">
        <f aca="false">IF(K451&gt;160,"-",IF(K451&lt;130,"-",IF(K451&lt;160,"X",0)))</f>
        <v>-</v>
      </c>
      <c r="D482" s="142"/>
      <c r="E482" s="470" t="str">
        <f aca="false">IF($C$49="X"," ",IF(C482="X",N482,IF(C482="-"," ",0)))</f>
        <v> </v>
      </c>
      <c r="F482" s="205" t="s">
        <v>322</v>
      </c>
      <c r="G482" s="403" t="str">
        <f aca="false">IF(K453&gt;55,"-",IF(K453&gt;50,"X","-"))</f>
        <v>-</v>
      </c>
      <c r="H482" s="142"/>
      <c r="I482" s="142"/>
      <c r="J482" s="469" t="str">
        <f aca="false">O482</f>
        <v> </v>
      </c>
      <c r="K482" s="475"/>
      <c r="L482" s="379"/>
      <c r="M482" s="471" t="n">
        <f aca="false">IF(E482=" ",0,IF(G480="x","9%",IF(E480="-","8%",0)))</f>
        <v>0</v>
      </c>
      <c r="N482" s="472" t="n">
        <v>0.08</v>
      </c>
      <c r="O482" s="425" t="str">
        <f aca="false">IF(E482&lt;&gt;" ",IF(K453&gt;55,P482,N482)," ")</f>
        <v> </v>
      </c>
      <c r="P482" s="472" t="n">
        <v>0.09</v>
      </c>
    </row>
    <row r="483" customFormat="false" ht="5.1" hidden="false" customHeight="true" outlineLevel="0" collapsed="false">
      <c r="A483" s="167"/>
      <c r="B483" s="295"/>
      <c r="C483" s="142"/>
      <c r="D483" s="142"/>
      <c r="E483" s="105"/>
      <c r="F483" s="205"/>
      <c r="G483" s="142"/>
      <c r="H483" s="142"/>
      <c r="I483" s="142"/>
      <c r="J483" s="156"/>
      <c r="K483" s="142"/>
      <c r="L483" s="379"/>
      <c r="M483" s="471"/>
    </row>
    <row r="484" customFormat="false" ht="13.2" hidden="false" customHeight="true" outlineLevel="0" collapsed="false">
      <c r="A484" s="167"/>
      <c r="B484" s="295" t="s">
        <v>323</v>
      </c>
      <c r="C484" s="403" t="str">
        <f aca="false">IF(K451&gt;130,"-",IF(K451&lt;110,"-",IF(K451&lt;130,"X",0)))</f>
        <v>-</v>
      </c>
      <c r="D484" s="142"/>
      <c r="E484" s="470" t="str">
        <f aca="false">IF($C$49="X"," ",IF(C484="X",N484,IF(C484="-"," ",0)))</f>
        <v> </v>
      </c>
      <c r="F484" s="205" t="s">
        <v>324</v>
      </c>
      <c r="G484" s="403" t="str">
        <f aca="false">IF(K453&gt;50,"-",IF(K453&gt;45,"X","-"))</f>
        <v>-</v>
      </c>
      <c r="H484" s="142"/>
      <c r="I484" s="142"/>
      <c r="J484" s="469" t="str">
        <f aca="false">O484</f>
        <v> </v>
      </c>
      <c r="K484" s="475"/>
      <c r="L484" s="379"/>
      <c r="M484" s="471" t="n">
        <f aca="false">IF(E484=" ",0,IF(G482="x","9%",IF(G480="x","9%",IF(E484="8%","8%",0))))</f>
        <v>0</v>
      </c>
      <c r="N484" s="472" t="n">
        <v>0.08</v>
      </c>
      <c r="O484" s="425" t="str">
        <f aca="false">IF(E484&lt;&gt;" ",IF(K453&gt;50,P484,N484)," ")</f>
        <v> </v>
      </c>
      <c r="P484" s="472" t="n">
        <v>0.09</v>
      </c>
    </row>
    <row r="485" customFormat="false" ht="5.1" hidden="false" customHeight="true" outlineLevel="0" collapsed="false">
      <c r="A485" s="167"/>
      <c r="B485" s="295"/>
      <c r="C485" s="142"/>
      <c r="D485" s="142"/>
      <c r="E485" s="105"/>
      <c r="F485" s="205"/>
      <c r="G485" s="142"/>
      <c r="H485" s="142"/>
      <c r="I485" s="142"/>
      <c r="J485" s="156"/>
      <c r="K485" s="142"/>
      <c r="L485" s="379"/>
      <c r="M485" s="471"/>
    </row>
    <row r="486" customFormat="false" ht="13.2" hidden="false" customHeight="true" outlineLevel="0" collapsed="false">
      <c r="A486" s="167"/>
      <c r="B486" s="295" t="s">
        <v>325</v>
      </c>
      <c r="C486" s="403" t="str">
        <f aca="false">IF(K451&gt;110,"-",IF(K451&lt;95,"-",IF(K451&lt;110,"X",0)))</f>
        <v>-</v>
      </c>
      <c r="D486" s="142"/>
      <c r="E486" s="470" t="str">
        <f aca="false">IF($C$49="X"," ",IF(C486="X",N486,IF(C486="-"," ",0)))</f>
        <v> </v>
      </c>
      <c r="F486" s="205" t="s">
        <v>326</v>
      </c>
      <c r="G486" s="403" t="str">
        <f aca="false">IF(K453&gt;45,"-",IF(K453&gt;40,"X","-"))</f>
        <v>-</v>
      </c>
      <c r="H486" s="142"/>
      <c r="I486" s="142"/>
      <c r="J486" s="469" t="str">
        <f aca="false">O486</f>
        <v> </v>
      </c>
      <c r="K486" s="475"/>
      <c r="L486" s="379"/>
      <c r="M486" s="471" t="n">
        <f aca="false">IF(E486=" ",0,IF(G484="x","8%",IF(G482="x","8%",IF(G480="x","8%",IF(E486="7%","7%",0)))))</f>
        <v>0</v>
      </c>
      <c r="N486" s="472" t="n">
        <v>0.07</v>
      </c>
      <c r="O486" s="425" t="str">
        <f aca="false">IF(E486&lt;&gt;" ",IF(K453&gt;45,P486,N486)," ")</f>
        <v> </v>
      </c>
      <c r="P486" s="472" t="n">
        <v>0.08</v>
      </c>
    </row>
    <row r="487" customFormat="false" ht="5.1" hidden="false" customHeight="true" outlineLevel="0" collapsed="false">
      <c r="A487" s="167"/>
      <c r="B487" s="295"/>
      <c r="C487" s="142"/>
      <c r="D487" s="142"/>
      <c r="E487" s="105"/>
      <c r="F487" s="205"/>
      <c r="G487" s="142"/>
      <c r="H487" s="142"/>
      <c r="I487" s="142"/>
      <c r="J487" s="156"/>
      <c r="K487" s="142"/>
      <c r="L487" s="379"/>
      <c r="M487" s="474"/>
    </row>
    <row r="488" customFormat="false" ht="13.2" hidden="false" customHeight="true" outlineLevel="0" collapsed="false">
      <c r="A488" s="167"/>
      <c r="B488" s="295" t="s">
        <v>327</v>
      </c>
      <c r="C488" s="403" t="str">
        <f aca="false">IF(K451&lt;95,"X","-")</f>
        <v>X</v>
      </c>
      <c r="D488" s="142"/>
      <c r="E488" s="469" t="n">
        <f aca="false">IF($C$49="X"," ",IF(C488="X",N488,IF(C488="-"," ",0)))</f>
        <v>0.07</v>
      </c>
      <c r="F488" s="205" t="s">
        <v>328</v>
      </c>
      <c r="G488" s="403" t="str">
        <f aca="false">IF(K453&lt;=40,"X","-")</f>
        <v>X</v>
      </c>
      <c r="H488" s="142"/>
      <c r="I488" s="142"/>
      <c r="J488" s="469" t="n">
        <f aca="false">O488</f>
        <v>0.07</v>
      </c>
      <c r="K488" s="475"/>
      <c r="L488" s="379"/>
      <c r="M488" s="471" t="n">
        <f aca="false">IF(E488=" ",0,IF(G486="x","8%",IF(G484="x","8%",IF(G482="x","8%",IF(G480="x","8%",IF(E488="7%","7%",0))))))</f>
        <v>0</v>
      </c>
      <c r="N488" s="472" t="n">
        <v>0.07</v>
      </c>
      <c r="O488" s="472" t="n">
        <f aca="false">IF(E488&lt;&gt;" ",IF(K453&gt;40,P488,N488)," ")</f>
        <v>0.07</v>
      </c>
      <c r="P488" s="472" t="n">
        <v>0.08</v>
      </c>
    </row>
    <row r="489" customFormat="false" ht="5.1" hidden="false" customHeight="true" outlineLevel="0" collapsed="false">
      <c r="A489" s="167"/>
      <c r="B489" s="142"/>
      <c r="C489" s="142"/>
      <c r="D489" s="142"/>
      <c r="E489" s="105"/>
      <c r="K489" s="142"/>
      <c r="L489" s="379"/>
      <c r="M489" s="474"/>
    </row>
    <row r="490" customFormat="false" ht="13.2" hidden="false" customHeight="true" outlineLevel="0" collapsed="false">
      <c r="A490" s="167"/>
      <c r="B490" s="295" t="s">
        <v>329</v>
      </c>
      <c r="C490" s="476"/>
      <c r="D490" s="142"/>
      <c r="E490" s="475" t="str">
        <f aca="false">IF(C490="X",N490," ")</f>
        <v> </v>
      </c>
      <c r="J490" s="477" t="str">
        <f aca="false">E490</f>
        <v> </v>
      </c>
      <c r="K490" s="475" t="s">
        <v>330</v>
      </c>
      <c r="L490" s="379"/>
      <c r="M490" s="471" t="n">
        <f aca="false">IF(J490=" ",0,IF(J490="10%",0.1,0))</f>
        <v>0</v>
      </c>
      <c r="N490" s="472" t="n">
        <v>0.1</v>
      </c>
    </row>
    <row r="491" customFormat="false" ht="9" hidden="false" customHeight="true" outlineLevel="0" collapsed="false">
      <c r="A491" s="167"/>
      <c r="B491" s="142"/>
      <c r="C491" s="142"/>
      <c r="D491" s="142"/>
      <c r="E491" s="142"/>
      <c r="F491" s="142"/>
      <c r="G491" s="142"/>
      <c r="H491" s="142"/>
      <c r="I491" s="142"/>
      <c r="J491" s="142"/>
      <c r="K491" s="142"/>
      <c r="L491" s="379"/>
      <c r="M491" s="471" t="n">
        <f aca="false">M480+M482+M484+M486+M488+M490</f>
        <v>0</v>
      </c>
    </row>
    <row r="492" customFormat="false" ht="6" hidden="false" customHeight="true" outlineLevel="0" collapsed="false">
      <c r="A492" s="167"/>
      <c r="B492" s="142"/>
      <c r="C492" s="142"/>
      <c r="D492" s="142"/>
      <c r="E492" s="142"/>
      <c r="F492" s="142"/>
      <c r="G492" s="142"/>
      <c r="H492" s="142"/>
      <c r="I492" s="142"/>
      <c r="J492" s="142"/>
      <c r="K492" s="142"/>
      <c r="L492" s="379"/>
      <c r="M492" s="318"/>
    </row>
    <row r="493" customFormat="false" ht="12.75" hidden="false" customHeight="true" outlineLevel="0" collapsed="false">
      <c r="A493" s="167"/>
      <c r="B493" s="142" t="s">
        <v>331</v>
      </c>
      <c r="C493" s="142"/>
      <c r="D493" s="142"/>
      <c r="E493" s="142"/>
      <c r="F493" s="142"/>
      <c r="G493" s="476"/>
      <c r="H493" s="142"/>
      <c r="I493" s="142"/>
      <c r="J493" s="142"/>
      <c r="K493" s="142"/>
      <c r="L493" s="379"/>
      <c r="M493" s="318"/>
      <c r="N493" s="425" t="n">
        <f aca="false">IF(G493="X",1,0)</f>
        <v>0</v>
      </c>
    </row>
    <row r="494" customFormat="false" ht="6" hidden="false" customHeight="true" outlineLevel="0" collapsed="false">
      <c r="A494" s="167"/>
      <c r="B494" s="142"/>
      <c r="C494" s="142"/>
      <c r="D494" s="142"/>
      <c r="E494" s="142"/>
      <c r="F494" s="142"/>
      <c r="G494" s="295"/>
      <c r="H494" s="142"/>
      <c r="I494" s="142"/>
      <c r="J494" s="142"/>
      <c r="K494" s="142"/>
      <c r="L494" s="379"/>
      <c r="M494" s="318"/>
    </row>
    <row r="495" customFormat="false" ht="13.2" hidden="false" customHeight="true" outlineLevel="0" collapsed="false">
      <c r="A495" s="167"/>
      <c r="B495" s="142" t="s">
        <v>332</v>
      </c>
      <c r="C495" s="142"/>
      <c r="D495" s="142"/>
      <c r="E495" s="142"/>
      <c r="F495" s="142"/>
      <c r="G495" s="476" t="s">
        <v>238</v>
      </c>
      <c r="H495" s="142"/>
      <c r="I495" s="142"/>
      <c r="J495" s="142"/>
      <c r="K495" s="142"/>
      <c r="L495" s="379"/>
      <c r="M495" s="318"/>
      <c r="N495" s="425" t="n">
        <f aca="false">IF(G495="X",1,0)</f>
        <v>0</v>
      </c>
    </row>
    <row r="496" customFormat="false" ht="5.1" hidden="false" customHeight="true" outlineLevel="0" collapsed="false">
      <c r="A496" s="167"/>
      <c r="B496" s="142"/>
      <c r="C496" s="142"/>
      <c r="D496" s="142"/>
      <c r="E496" s="142"/>
      <c r="F496" s="142"/>
      <c r="G496" s="295"/>
      <c r="H496" s="142"/>
      <c r="I496" s="142"/>
      <c r="J496" s="142"/>
      <c r="K496" s="142"/>
      <c r="L496" s="379"/>
      <c r="M496" s="318"/>
    </row>
    <row r="497" customFormat="false" ht="12.75" hidden="false" customHeight="true" outlineLevel="0" collapsed="false">
      <c r="A497" s="167"/>
      <c r="B497" s="142" t="s">
        <v>333</v>
      </c>
      <c r="C497" s="142"/>
      <c r="D497" s="142"/>
      <c r="E497" s="142"/>
      <c r="F497" s="142"/>
      <c r="G497" s="476"/>
      <c r="H497" s="142"/>
      <c r="I497" s="142"/>
      <c r="J497" s="142"/>
      <c r="K497" s="142"/>
      <c r="L497" s="379"/>
      <c r="M497" s="318"/>
      <c r="N497" s="425" t="n">
        <f aca="false">IF(G497="X",1,0)</f>
        <v>0</v>
      </c>
    </row>
    <row r="498" customFormat="false" ht="4.5" hidden="false" customHeight="true" outlineLevel="0" collapsed="false">
      <c r="A498" s="167"/>
      <c r="B498" s="142"/>
      <c r="C498" s="142"/>
      <c r="D498" s="142"/>
      <c r="E498" s="142"/>
      <c r="F498" s="142"/>
      <c r="G498" s="142"/>
      <c r="H498" s="142"/>
      <c r="I498" s="142"/>
      <c r="J498" s="142"/>
      <c r="K498" s="142"/>
      <c r="L498" s="379"/>
      <c r="M498" s="318"/>
    </row>
    <row r="499" customFormat="false" ht="15" hidden="false" customHeight="true" outlineLevel="0" collapsed="false">
      <c r="A499" s="167"/>
      <c r="B499" s="142" t="s">
        <v>334</v>
      </c>
      <c r="C499" s="142"/>
      <c r="D499" s="142"/>
      <c r="E499" s="142"/>
      <c r="F499" s="142"/>
      <c r="G499" s="142"/>
      <c r="H499" s="142"/>
      <c r="I499" s="142"/>
      <c r="J499" s="142"/>
      <c r="K499" s="478" t="n">
        <f aca="false">IF(N499&gt;0,O499-0.01,O499)</f>
        <v>0.07</v>
      </c>
      <c r="L499" s="478"/>
      <c r="M499" s="318"/>
      <c r="N499" s="425" t="n">
        <f aca="false">N493+N495+N497</f>
        <v>0</v>
      </c>
      <c r="O499" s="473" t="n">
        <f aca="false">IF(J490&lt;&gt;" ",J490,P476)</f>
        <v>0.07</v>
      </c>
    </row>
    <row r="500" customFormat="false" ht="4.5" hidden="false" customHeight="true" outlineLevel="0" collapsed="false">
      <c r="A500" s="167"/>
      <c r="B500" s="142"/>
      <c r="C500" s="142"/>
      <c r="D500" s="142"/>
      <c r="E500" s="142"/>
      <c r="F500" s="142"/>
      <c r="G500" s="142"/>
      <c r="H500" s="142"/>
      <c r="I500" s="142"/>
      <c r="J500" s="142"/>
      <c r="K500" s="142"/>
      <c r="L500" s="379"/>
      <c r="M500" s="318"/>
    </row>
    <row r="501" customFormat="false" ht="4.5" hidden="false" customHeight="true" outlineLevel="0" collapsed="false">
      <c r="A501" s="167"/>
      <c r="B501" s="142"/>
      <c r="C501" s="142"/>
      <c r="D501" s="142"/>
      <c r="E501" s="142"/>
      <c r="F501" s="142"/>
      <c r="G501" s="142"/>
      <c r="H501" s="142"/>
      <c r="I501" s="142"/>
      <c r="J501" s="142"/>
      <c r="K501" s="142"/>
      <c r="L501" s="379"/>
      <c r="M501" s="318"/>
    </row>
    <row r="502" customFormat="false" ht="12.75" hidden="false" customHeight="true" outlineLevel="0" collapsed="false">
      <c r="A502" s="467" t="s">
        <v>335</v>
      </c>
      <c r="B502" s="467"/>
      <c r="C502" s="467"/>
      <c r="D502" s="467"/>
      <c r="E502" s="467"/>
      <c r="F502" s="467"/>
      <c r="G502" s="467"/>
      <c r="H502" s="467"/>
      <c r="I502" s="467"/>
      <c r="J502" s="467"/>
      <c r="K502" s="467"/>
      <c r="L502" s="467"/>
      <c r="M502" s="318"/>
    </row>
    <row r="503" customFormat="false" ht="6" hidden="false" customHeight="true" outlineLevel="0" collapsed="false">
      <c r="A503" s="167"/>
      <c r="B503" s="142"/>
      <c r="C503" s="142"/>
      <c r="D503" s="142"/>
      <c r="E503" s="142"/>
      <c r="F503" s="142"/>
      <c r="G503" s="142"/>
      <c r="H503" s="142"/>
      <c r="I503" s="142"/>
      <c r="J503" s="142"/>
      <c r="K503" s="142"/>
      <c r="L503" s="379"/>
      <c r="M503" s="318"/>
    </row>
    <row r="504" customFormat="false" ht="18" hidden="false" customHeight="true" outlineLevel="0" collapsed="false">
      <c r="A504" s="167"/>
      <c r="B504" s="142" t="s">
        <v>336</v>
      </c>
      <c r="C504" s="142"/>
      <c r="D504" s="142"/>
      <c r="E504" s="142"/>
      <c r="F504" s="142"/>
      <c r="G504" s="142"/>
      <c r="H504" s="142" t="s">
        <v>169</v>
      </c>
      <c r="I504" s="479" t="n">
        <f aca="false">K470</f>
        <v>0</v>
      </c>
      <c r="J504" s="479"/>
      <c r="K504" s="479"/>
      <c r="L504" s="479"/>
      <c r="M504" s="318"/>
    </row>
    <row r="505" customFormat="false" ht="5.1" hidden="false" customHeight="true" outlineLevel="0" collapsed="false">
      <c r="A505" s="167"/>
      <c r="B505" s="142"/>
      <c r="C505" s="142"/>
      <c r="D505" s="142"/>
      <c r="E505" s="142"/>
      <c r="F505" s="142"/>
      <c r="G505" s="142"/>
      <c r="H505" s="142"/>
      <c r="I505" s="142"/>
      <c r="J505" s="142"/>
      <c r="K505" s="142"/>
      <c r="L505" s="379"/>
      <c r="M505" s="318"/>
    </row>
    <row r="506" customFormat="false" ht="18" hidden="false" customHeight="true" outlineLevel="0" collapsed="false">
      <c r="A506" s="167"/>
      <c r="B506" s="142" t="s">
        <v>337</v>
      </c>
      <c r="C506" s="142"/>
      <c r="D506" s="142"/>
      <c r="E506" s="142"/>
      <c r="F506" s="142"/>
      <c r="G506" s="142"/>
      <c r="H506" s="142" t="s">
        <v>338</v>
      </c>
      <c r="I506" s="480" t="n">
        <f aca="false">K499</f>
        <v>0.07</v>
      </c>
      <c r="J506" s="480"/>
      <c r="K506" s="480"/>
      <c r="L506" s="480"/>
      <c r="M506" s="318"/>
    </row>
    <row r="507" customFormat="false" ht="5.1" hidden="false" customHeight="true" outlineLevel="0" collapsed="false">
      <c r="A507" s="167"/>
      <c r="B507" s="142"/>
      <c r="C507" s="142"/>
      <c r="D507" s="142"/>
      <c r="E507" s="142"/>
      <c r="F507" s="142"/>
      <c r="G507" s="142"/>
      <c r="H507" s="142"/>
      <c r="I507" s="142"/>
      <c r="J507" s="142"/>
      <c r="K507" s="142"/>
      <c r="L507" s="379"/>
      <c r="M507" s="318"/>
    </row>
    <row r="508" customFormat="false" ht="18" hidden="false" customHeight="true" outlineLevel="0" collapsed="false">
      <c r="A508" s="481"/>
      <c r="B508" s="197" t="s">
        <v>339</v>
      </c>
      <c r="C508" s="197"/>
      <c r="D508" s="197"/>
      <c r="E508" s="197"/>
      <c r="F508" s="197"/>
      <c r="G508" s="197"/>
      <c r="H508" s="197" t="s">
        <v>169</v>
      </c>
      <c r="I508" s="482" t="n">
        <f aca="false">I504*I506</f>
        <v>0</v>
      </c>
      <c r="J508" s="482"/>
      <c r="K508" s="482"/>
      <c r="L508" s="482"/>
      <c r="M508" s="318"/>
    </row>
    <row r="509" s="112" customFormat="true" ht="28.35" hidden="false" customHeight="true" outlineLevel="0" collapsed="false">
      <c r="A509" s="483"/>
      <c r="B509" s="484"/>
      <c r="C509" s="484"/>
      <c r="D509" s="484"/>
      <c r="E509" s="484"/>
      <c r="F509" s="484"/>
      <c r="G509" s="484"/>
      <c r="H509" s="484"/>
      <c r="I509" s="484"/>
      <c r="J509" s="484"/>
      <c r="K509" s="484"/>
      <c r="L509" s="485"/>
      <c r="M509" s="430"/>
      <c r="N509" s="118"/>
      <c r="O509" s="118"/>
      <c r="P509" s="118"/>
      <c r="Q509" s="118"/>
      <c r="R509" s="118"/>
    </row>
    <row r="510" s="112" customFormat="true" ht="18" hidden="false" customHeight="true" outlineLevel="0" collapsed="false">
      <c r="A510" s="432" t="s">
        <v>341</v>
      </c>
      <c r="B510" s="209"/>
      <c r="C510" s="209"/>
      <c r="D510" s="209"/>
      <c r="E510" s="209"/>
      <c r="F510" s="434" t="s">
        <v>162</v>
      </c>
      <c r="G510" s="211"/>
      <c r="H510" s="211"/>
      <c r="I510" s="123"/>
      <c r="J510" s="436"/>
      <c r="K510" s="434" t="s">
        <v>297</v>
      </c>
      <c r="L510" s="437"/>
      <c r="M510" s="430"/>
      <c r="N510" s="118"/>
      <c r="O510" s="118"/>
      <c r="P510" s="118"/>
      <c r="Q510" s="118"/>
      <c r="R510" s="118"/>
    </row>
    <row r="511" s="112" customFormat="true" ht="9.75" hidden="false" customHeight="true" outlineLevel="0" collapsed="false">
      <c r="A511" s="438"/>
      <c r="B511" s="439"/>
      <c r="C511" s="440"/>
      <c r="D511" s="440"/>
      <c r="E511" s="123"/>
      <c r="F511" s="440"/>
      <c r="G511" s="434"/>
      <c r="H511" s="440"/>
      <c r="I511" s="123"/>
      <c r="J511" s="434"/>
      <c r="K511" s="441"/>
      <c r="L511" s="488"/>
      <c r="M511" s="430"/>
      <c r="N511" s="118"/>
      <c r="O511" s="118"/>
      <c r="P511" s="118"/>
      <c r="Q511" s="118"/>
      <c r="R511" s="118"/>
    </row>
    <row r="512" customFormat="false" ht="13.2" hidden="false" customHeight="true" outlineLevel="0" collapsed="false">
      <c r="A512" s="442" t="s">
        <v>298</v>
      </c>
      <c r="B512" s="442"/>
      <c r="C512" s="442"/>
      <c r="D512" s="442"/>
      <c r="E512" s="442"/>
      <c r="F512" s="442"/>
      <c r="G512" s="442"/>
      <c r="H512" s="442"/>
      <c r="I512" s="442"/>
      <c r="J512" s="442"/>
      <c r="K512" s="442"/>
      <c r="L512" s="442"/>
      <c r="M512" s="318"/>
    </row>
    <row r="513" customFormat="false" ht="9" hidden="false" customHeight="true" outlineLevel="0" collapsed="false">
      <c r="A513" s="443"/>
      <c r="B513" s="444"/>
      <c r="C513" s="101"/>
      <c r="D513" s="101"/>
      <c r="E513" s="101"/>
      <c r="F513" s="101"/>
      <c r="G513" s="101"/>
      <c r="H513" s="101"/>
      <c r="I513" s="101"/>
      <c r="J513" s="101"/>
      <c r="K513" s="101"/>
      <c r="L513" s="445"/>
    </row>
    <row r="514" customFormat="false" ht="12.75" hidden="false" customHeight="true" outlineLevel="0" collapsed="false">
      <c r="A514" s="443"/>
      <c r="B514" s="446" t="s">
        <v>299</v>
      </c>
      <c r="C514" s="101"/>
      <c r="D514" s="101"/>
      <c r="E514" s="101"/>
      <c r="F514" s="101"/>
      <c r="G514" s="101"/>
      <c r="H514" s="101"/>
      <c r="I514" s="101"/>
      <c r="J514" s="101"/>
      <c r="K514" s="447"/>
      <c r="L514" s="448"/>
    </row>
    <row r="515" customFormat="false" ht="9" hidden="false" customHeight="true" outlineLevel="0" collapsed="false">
      <c r="A515" s="443"/>
      <c r="B515" s="444"/>
      <c r="C515" s="101"/>
      <c r="D515" s="101"/>
      <c r="E515" s="101"/>
      <c r="F515" s="101"/>
      <c r="G515" s="101"/>
      <c r="H515" s="101"/>
      <c r="I515" s="101"/>
      <c r="J515" s="101"/>
      <c r="K515" s="449"/>
      <c r="L515" s="448"/>
    </row>
    <row r="516" customFormat="false" ht="12.75" hidden="false" customHeight="true" outlineLevel="0" collapsed="false">
      <c r="A516" s="443"/>
      <c r="B516" s="446" t="s">
        <v>300</v>
      </c>
      <c r="C516" s="101"/>
      <c r="D516" s="101"/>
      <c r="E516" s="101"/>
      <c r="F516" s="101"/>
      <c r="G516" s="101"/>
      <c r="H516" s="101"/>
      <c r="I516" s="101"/>
      <c r="J516" s="101"/>
      <c r="K516" s="447"/>
      <c r="L516" s="448"/>
    </row>
    <row r="517" customFormat="false" ht="6.75" hidden="false" customHeight="true" outlineLevel="0" collapsed="false">
      <c r="A517" s="443"/>
      <c r="B517" s="444"/>
      <c r="C517" s="101"/>
      <c r="D517" s="101"/>
      <c r="E517" s="101"/>
      <c r="F517" s="101"/>
      <c r="G517" s="101"/>
      <c r="H517" s="101"/>
      <c r="I517" s="101"/>
      <c r="J517" s="101"/>
      <c r="K517" s="101"/>
      <c r="L517" s="450"/>
    </row>
    <row r="518" customFormat="false" ht="12.75" hidden="false" customHeight="true" outlineLevel="0" collapsed="false">
      <c r="A518" s="443" t="s">
        <v>301</v>
      </c>
      <c r="B518" s="101" t="s">
        <v>302</v>
      </c>
      <c r="C518" s="101"/>
      <c r="D518" s="101"/>
      <c r="E518" s="101"/>
      <c r="F518" s="101"/>
      <c r="G518" s="101"/>
      <c r="H518" s="101"/>
      <c r="I518" s="101"/>
      <c r="J518" s="444" t="s">
        <v>205</v>
      </c>
      <c r="K518" s="447"/>
      <c r="L518" s="448"/>
      <c r="M518" s="318"/>
    </row>
    <row r="519" customFormat="false" ht="9" hidden="false" customHeight="true" outlineLevel="0" collapsed="false">
      <c r="A519" s="443"/>
      <c r="B519" s="101"/>
      <c r="C519" s="101"/>
      <c r="D519" s="101"/>
      <c r="E519" s="101"/>
      <c r="F519" s="101"/>
      <c r="G519" s="101"/>
      <c r="H519" s="101"/>
      <c r="I519" s="101"/>
      <c r="J519" s="444"/>
      <c r="K519" s="101"/>
      <c r="L519" s="450"/>
      <c r="M519" s="318"/>
    </row>
    <row r="520" customFormat="false" ht="12.75" hidden="false" customHeight="true" outlineLevel="0" collapsed="false">
      <c r="A520" s="443"/>
      <c r="B520" s="451" t="s">
        <v>303</v>
      </c>
      <c r="C520" s="451"/>
      <c r="D520" s="451"/>
      <c r="E520" s="101"/>
      <c r="F520" s="101"/>
      <c r="G520" s="101"/>
      <c r="H520" s="101"/>
      <c r="I520" s="101"/>
      <c r="J520" s="444"/>
      <c r="K520" s="101"/>
      <c r="L520" s="452"/>
      <c r="M520" s="318"/>
    </row>
    <row r="521" customFormat="false" ht="12.75" hidden="false" customHeight="true" outlineLevel="0" collapsed="false">
      <c r="A521" s="453" t="s">
        <v>304</v>
      </c>
      <c r="B521" s="451"/>
      <c r="C521" s="451"/>
      <c r="D521" s="451"/>
      <c r="E521" s="101" t="s">
        <v>205</v>
      </c>
      <c r="F521" s="454"/>
      <c r="G521" s="444" t="s">
        <v>305</v>
      </c>
      <c r="H521" s="101" t="n">
        <v>0.6</v>
      </c>
      <c r="I521" s="101" t="s">
        <v>306</v>
      </c>
      <c r="J521" s="444" t="s">
        <v>205</v>
      </c>
      <c r="K521" s="455" t="n">
        <f aca="false">IF(F521&gt;0,F521*H521,0)</f>
        <v>0</v>
      </c>
      <c r="L521" s="456"/>
      <c r="M521" s="318"/>
    </row>
    <row r="522" customFormat="false" ht="6" hidden="false" customHeight="true" outlineLevel="0" collapsed="false">
      <c r="A522" s="443"/>
      <c r="B522" s="101"/>
      <c r="C522" s="101"/>
      <c r="D522" s="101"/>
      <c r="E522" s="101"/>
      <c r="F522" s="101"/>
      <c r="G522" s="101"/>
      <c r="H522" s="101"/>
      <c r="I522" s="101"/>
      <c r="J522" s="444"/>
      <c r="K522" s="101"/>
      <c r="L522" s="450"/>
      <c r="M522" s="318"/>
    </row>
    <row r="523" customFormat="false" ht="13.2" hidden="false" customHeight="true" outlineLevel="0" collapsed="false">
      <c r="A523" s="443"/>
      <c r="B523" s="101"/>
      <c r="C523" s="101"/>
      <c r="D523" s="101"/>
      <c r="E523" s="101"/>
      <c r="F523" s="101"/>
      <c r="G523" s="101"/>
      <c r="H523" s="101"/>
      <c r="I523" s="101"/>
      <c r="J523" s="444"/>
      <c r="K523" s="101"/>
      <c r="L523" s="450"/>
      <c r="M523" s="318"/>
    </row>
    <row r="524" customFormat="false" ht="12.75" hidden="false" customHeight="true" outlineLevel="0" collapsed="false">
      <c r="A524" s="443"/>
      <c r="B524" s="157"/>
      <c r="C524" s="101"/>
      <c r="D524" s="101"/>
      <c r="E524" s="101"/>
      <c r="F524" s="101"/>
      <c r="G524" s="101"/>
      <c r="H524" s="101"/>
      <c r="I524" s="101"/>
      <c r="J524" s="444"/>
      <c r="K524" s="457"/>
      <c r="L524" s="448"/>
      <c r="M524" s="318"/>
    </row>
    <row r="525" customFormat="false" ht="8.25" hidden="false" customHeight="true" outlineLevel="0" collapsed="false">
      <c r="A525" s="443"/>
      <c r="B525" s="157"/>
      <c r="C525" s="101"/>
      <c r="D525" s="101"/>
      <c r="E525" s="101"/>
      <c r="F525" s="101"/>
      <c r="G525" s="101"/>
      <c r="H525" s="101"/>
      <c r="I525" s="101"/>
      <c r="J525" s="444"/>
      <c r="K525" s="101"/>
      <c r="L525" s="450"/>
      <c r="M525" s="318"/>
    </row>
    <row r="526" customFormat="false" ht="12.75" hidden="false" customHeight="true" outlineLevel="0" collapsed="false">
      <c r="A526" s="443" t="s">
        <v>307</v>
      </c>
      <c r="B526" s="101" t="s">
        <v>308</v>
      </c>
      <c r="C526" s="101"/>
      <c r="D526" s="101"/>
      <c r="E526" s="101"/>
      <c r="F526" s="101"/>
      <c r="G526" s="101"/>
      <c r="H526" s="101"/>
      <c r="I526" s="101"/>
      <c r="J526" s="444" t="s">
        <v>205</v>
      </c>
      <c r="K526" s="458" t="n">
        <f aca="false">K518+K521+K524</f>
        <v>0</v>
      </c>
      <c r="L526" s="459"/>
      <c r="M526" s="318"/>
    </row>
    <row r="527" customFormat="false" ht="8.25" hidden="false" customHeight="true" outlineLevel="0" collapsed="false">
      <c r="A527" s="443"/>
      <c r="B527" s="101"/>
      <c r="C527" s="101"/>
      <c r="D527" s="101"/>
      <c r="E527" s="101"/>
      <c r="F527" s="101"/>
      <c r="G527" s="101"/>
      <c r="H527" s="101"/>
      <c r="I527" s="101"/>
      <c r="J527" s="444"/>
      <c r="K527" s="101"/>
      <c r="L527" s="450"/>
      <c r="M527" s="318"/>
    </row>
    <row r="528" customFormat="false" ht="13.2" hidden="false" customHeight="true" outlineLevel="0" collapsed="false">
      <c r="A528" s="443" t="s">
        <v>309</v>
      </c>
      <c r="B528" s="101" t="s">
        <v>310</v>
      </c>
      <c r="C528" s="101"/>
      <c r="D528" s="101"/>
      <c r="E528" s="101"/>
      <c r="F528" s="101"/>
      <c r="G528" s="101"/>
      <c r="H528" s="101"/>
      <c r="I528" s="101"/>
      <c r="J528" s="444"/>
      <c r="K528" s="101"/>
      <c r="L528" s="450"/>
      <c r="M528" s="318"/>
    </row>
    <row r="529" customFormat="false" ht="12.75" hidden="false" customHeight="true" outlineLevel="0" collapsed="false">
      <c r="A529" s="443"/>
      <c r="B529" s="157" t="s">
        <v>311</v>
      </c>
      <c r="C529" s="101"/>
      <c r="D529" s="101"/>
      <c r="E529" s="101"/>
      <c r="F529" s="101"/>
      <c r="G529" s="101"/>
      <c r="H529" s="101"/>
      <c r="I529" s="101"/>
      <c r="J529" s="444" t="s">
        <v>206</v>
      </c>
      <c r="K529" s="455" t="n">
        <f aca="false">('costo-mq'!$O$82)/2</f>
        <v>156.36555</v>
      </c>
      <c r="L529" s="456"/>
    </row>
    <row r="530" customFormat="false" ht="6" hidden="false" customHeight="true" outlineLevel="0" collapsed="false">
      <c r="A530" s="443"/>
      <c r="B530" s="101"/>
      <c r="C530" s="101"/>
      <c r="D530" s="101"/>
      <c r="E530" s="101"/>
      <c r="F530" s="101"/>
      <c r="G530" s="101"/>
      <c r="H530" s="101"/>
      <c r="I530" s="101"/>
      <c r="J530" s="444"/>
      <c r="K530" s="154"/>
      <c r="L530" s="460"/>
      <c r="M530" s="318"/>
    </row>
    <row r="531" customFormat="false" ht="18" hidden="false" customHeight="true" outlineLevel="0" collapsed="false">
      <c r="A531" s="443"/>
      <c r="B531" s="101"/>
      <c r="C531" s="101"/>
      <c r="D531" s="101"/>
      <c r="E531" s="101"/>
      <c r="F531" s="101"/>
      <c r="G531" s="101"/>
      <c r="H531" s="461"/>
      <c r="I531" s="101"/>
      <c r="J531" s="444"/>
      <c r="K531" s="154"/>
      <c r="L531" s="460"/>
      <c r="M531" s="462"/>
    </row>
    <row r="532" customFormat="false" ht="6" hidden="false" customHeight="true" outlineLevel="0" collapsed="false">
      <c r="A532" s="443"/>
      <c r="B532" s="101"/>
      <c r="C532" s="101"/>
      <c r="D532" s="101"/>
      <c r="E532" s="101"/>
      <c r="F532" s="101"/>
      <c r="G532" s="101"/>
      <c r="H532" s="101"/>
      <c r="I532" s="101"/>
      <c r="J532" s="444"/>
      <c r="K532" s="154"/>
      <c r="L532" s="463"/>
      <c r="M532" s="318"/>
    </row>
    <row r="533" customFormat="false" ht="12.75" hidden="false" customHeight="true" outlineLevel="0" collapsed="false">
      <c r="A533" s="443" t="s">
        <v>312</v>
      </c>
      <c r="B533" s="464" t="s">
        <v>313</v>
      </c>
      <c r="C533" s="465"/>
      <c r="D533" s="465"/>
      <c r="E533" s="465"/>
      <c r="F533" s="465"/>
      <c r="G533" s="465"/>
      <c r="H533" s="465"/>
      <c r="I533" s="465"/>
      <c r="J533" s="466" t="s">
        <v>169</v>
      </c>
      <c r="K533" s="458" t="n">
        <f aca="false">K526*K529</f>
        <v>0</v>
      </c>
      <c r="L533" s="459"/>
      <c r="M533" s="318"/>
    </row>
    <row r="534" customFormat="false" ht="13.2" hidden="false" customHeight="true" outlineLevel="0" collapsed="false">
      <c r="A534" s="167"/>
      <c r="B534" s="142"/>
      <c r="C534" s="142"/>
      <c r="D534" s="142"/>
      <c r="E534" s="142"/>
      <c r="F534" s="142"/>
      <c r="G534" s="142"/>
      <c r="H534" s="142"/>
      <c r="I534" s="142"/>
      <c r="J534" s="142"/>
      <c r="K534" s="142"/>
      <c r="L534" s="379"/>
      <c r="M534" s="318"/>
    </row>
    <row r="535" customFormat="false" ht="5.1" hidden="false" customHeight="true" outlineLevel="0" collapsed="false">
      <c r="A535" s="167"/>
      <c r="B535" s="142"/>
      <c r="C535" s="142"/>
      <c r="D535" s="142"/>
      <c r="E535" s="142"/>
      <c r="F535" s="142"/>
      <c r="G535" s="142"/>
      <c r="H535" s="142"/>
      <c r="I535" s="142"/>
      <c r="J535" s="142"/>
      <c r="K535" s="142"/>
      <c r="L535" s="379"/>
      <c r="M535" s="318"/>
    </row>
    <row r="536" customFormat="false" ht="13.2" hidden="false" customHeight="true" outlineLevel="0" collapsed="false">
      <c r="A536" s="467" t="s">
        <v>314</v>
      </c>
      <c r="B536" s="467"/>
      <c r="C536" s="467"/>
      <c r="D536" s="467"/>
      <c r="E536" s="467"/>
      <c r="F536" s="467"/>
      <c r="G536" s="467"/>
      <c r="H536" s="467"/>
      <c r="I536" s="467"/>
      <c r="J536" s="467"/>
      <c r="K536" s="467"/>
      <c r="L536" s="467"/>
      <c r="M536" s="318"/>
    </row>
    <row r="537" customFormat="false" ht="5.1" hidden="false" customHeight="true" outlineLevel="0" collapsed="false">
      <c r="A537" s="167"/>
      <c r="B537" s="142"/>
      <c r="C537" s="142"/>
      <c r="D537" s="142"/>
      <c r="E537" s="142"/>
      <c r="F537" s="142"/>
      <c r="G537" s="142"/>
      <c r="H537" s="142"/>
      <c r="I537" s="142"/>
      <c r="J537" s="142"/>
      <c r="K537" s="142"/>
      <c r="L537" s="379"/>
      <c r="M537" s="318"/>
    </row>
    <row r="538" customFormat="false" ht="16.5" hidden="false" customHeight="true" outlineLevel="0" collapsed="false">
      <c r="A538" s="167"/>
      <c r="B538" s="352" t="s">
        <v>225</v>
      </c>
      <c r="C538" s="142"/>
      <c r="D538" s="383" t="s">
        <v>315</v>
      </c>
      <c r="E538" s="383"/>
      <c r="F538" s="388" t="s">
        <v>316</v>
      </c>
      <c r="G538" s="142"/>
      <c r="H538" s="142"/>
      <c r="I538" s="383" t="s">
        <v>317</v>
      </c>
      <c r="J538" s="383"/>
      <c r="K538" s="383"/>
      <c r="L538" s="379"/>
      <c r="M538" s="318"/>
    </row>
    <row r="539" customFormat="false" ht="11.25" hidden="false" customHeight="true" outlineLevel="0" collapsed="false">
      <c r="A539" s="167"/>
      <c r="B539" s="142"/>
      <c r="C539" s="142"/>
      <c r="D539" s="383"/>
      <c r="E539" s="383"/>
      <c r="F539" s="355"/>
      <c r="G539" s="142"/>
      <c r="H539" s="142"/>
      <c r="I539" s="383"/>
      <c r="J539" s="383"/>
      <c r="K539" s="383"/>
      <c r="L539" s="379"/>
      <c r="M539" s="318"/>
      <c r="N539" s="468" t="n">
        <f aca="false">SUM(E543:E553)</f>
        <v>0.07</v>
      </c>
      <c r="P539" s="468" t="n">
        <f aca="false">SUM(J541:J553)</f>
        <v>0.07</v>
      </c>
    </row>
    <row r="540" customFormat="false" ht="6" hidden="false" customHeight="true" outlineLevel="0" collapsed="false">
      <c r="A540" s="167"/>
      <c r="B540" s="142"/>
      <c r="C540" s="142"/>
      <c r="D540" s="383"/>
      <c r="E540" s="383"/>
      <c r="F540" s="355"/>
      <c r="G540" s="142"/>
      <c r="H540" s="142"/>
      <c r="I540" s="383"/>
      <c r="J540" s="383"/>
      <c r="K540" s="383"/>
      <c r="L540" s="379"/>
      <c r="M540" s="318"/>
    </row>
    <row r="541" customFormat="false" ht="13.5" hidden="false" customHeight="true" outlineLevel="0" collapsed="false">
      <c r="A541" s="167"/>
      <c r="B541" s="142"/>
      <c r="C541" s="142"/>
      <c r="D541" s="383"/>
      <c r="E541" s="383"/>
      <c r="F541" s="205" t="s">
        <v>318</v>
      </c>
      <c r="G541" s="403" t="str">
        <f aca="false">IF(K516&gt;60,"X","-")</f>
        <v>-</v>
      </c>
      <c r="H541" s="142"/>
      <c r="I541" s="142"/>
      <c r="J541" s="469"/>
      <c r="K541" s="383"/>
      <c r="L541" s="379"/>
      <c r="M541" s="318"/>
    </row>
    <row r="542" customFormat="false" ht="6" hidden="false" customHeight="true" outlineLevel="0" collapsed="false">
      <c r="A542" s="167"/>
      <c r="B542" s="142"/>
      <c r="C542" s="142"/>
      <c r="D542" s="142"/>
      <c r="E542" s="142"/>
      <c r="K542" s="142"/>
      <c r="L542" s="379"/>
      <c r="M542" s="318"/>
    </row>
    <row r="543" customFormat="false" ht="13.2" hidden="false" customHeight="true" outlineLevel="0" collapsed="false">
      <c r="A543" s="167"/>
      <c r="B543" s="295" t="s">
        <v>319</v>
      </c>
      <c r="C543" s="403" t="str">
        <f aca="false">IF(K514&gt;160,"X","-")</f>
        <v>-</v>
      </c>
      <c r="D543" s="142"/>
      <c r="E543" s="470" t="str">
        <f aca="false">IF($C$49="X"," ",IF(C543="X",N543,IF(C543="-"," ",0)))</f>
        <v> </v>
      </c>
      <c r="F543" s="205" t="s">
        <v>320</v>
      </c>
      <c r="G543" s="403" t="str">
        <f aca="false">IF(K516&gt;60,"-",IF(K516&gt;55,"X","-"))</f>
        <v>-</v>
      </c>
      <c r="H543" s="142"/>
      <c r="I543" s="142"/>
      <c r="J543" s="469" t="str">
        <f aca="false">O543</f>
        <v> </v>
      </c>
      <c r="L543" s="379"/>
      <c r="M543" s="471" t="n">
        <f aca="false">IF(E543=" ",0,IF(G543="x","9%",IF(G541="x","10%",0)))</f>
        <v>0</v>
      </c>
      <c r="N543" s="472" t="n">
        <v>0.09</v>
      </c>
      <c r="O543" s="473" t="str">
        <f aca="false">IF(E543&lt;&gt;" ",IF(K516&gt;60,P543,N543)," ")</f>
        <v> </v>
      </c>
      <c r="P543" s="472" t="n">
        <v>0.1</v>
      </c>
    </row>
    <row r="544" customFormat="false" ht="6" hidden="false" customHeight="true" outlineLevel="0" collapsed="false">
      <c r="A544" s="167"/>
      <c r="B544" s="295"/>
      <c r="C544" s="142"/>
      <c r="D544" s="142"/>
      <c r="E544" s="105"/>
      <c r="F544" s="205"/>
      <c r="G544" s="142"/>
      <c r="H544" s="142"/>
      <c r="I544" s="142"/>
      <c r="J544" s="156"/>
      <c r="L544" s="379"/>
      <c r="M544" s="474"/>
    </row>
    <row r="545" customFormat="false" ht="12.75" hidden="false" customHeight="true" outlineLevel="0" collapsed="false">
      <c r="A545" s="167"/>
      <c r="B545" s="295" t="s">
        <v>321</v>
      </c>
      <c r="C545" s="403" t="str">
        <f aca="false">IF(K514&gt;160,"-",IF(K514&lt;130,"-",IF(K514&lt;160,"X",0)))</f>
        <v>-</v>
      </c>
      <c r="D545" s="142"/>
      <c r="E545" s="470" t="str">
        <f aca="false">IF($C$49="X"," ",IF(C545="X",N545,IF(C545="-"," ",0)))</f>
        <v> </v>
      </c>
      <c r="F545" s="205" t="s">
        <v>322</v>
      </c>
      <c r="G545" s="403" t="str">
        <f aca="false">IF(K516&gt;55,"-",IF(K516&gt;50,"X","-"))</f>
        <v>-</v>
      </c>
      <c r="H545" s="142"/>
      <c r="I545" s="142"/>
      <c r="J545" s="469" t="str">
        <f aca="false">O545</f>
        <v> </v>
      </c>
      <c r="K545" s="475"/>
      <c r="L545" s="379"/>
      <c r="M545" s="471" t="n">
        <f aca="false">IF(E545=" ",0,IF(G543="x","9%",IF(E543="-","8%",0)))</f>
        <v>0</v>
      </c>
      <c r="N545" s="472" t="n">
        <v>0.08</v>
      </c>
      <c r="O545" s="425" t="str">
        <f aca="false">IF(E545&lt;&gt;" ",IF(K516&gt;55,P545,N545)," ")</f>
        <v> </v>
      </c>
      <c r="P545" s="472" t="n">
        <v>0.09</v>
      </c>
    </row>
    <row r="546" customFormat="false" ht="5.1" hidden="false" customHeight="true" outlineLevel="0" collapsed="false">
      <c r="A546" s="167"/>
      <c r="B546" s="295"/>
      <c r="C546" s="142"/>
      <c r="D546" s="142"/>
      <c r="E546" s="105"/>
      <c r="F546" s="205"/>
      <c r="G546" s="142"/>
      <c r="H546" s="142"/>
      <c r="I546" s="142"/>
      <c r="J546" s="156"/>
      <c r="K546" s="142"/>
      <c r="L546" s="379"/>
      <c r="M546" s="471"/>
    </row>
    <row r="547" customFormat="false" ht="13.2" hidden="false" customHeight="true" outlineLevel="0" collapsed="false">
      <c r="A547" s="167"/>
      <c r="B547" s="295" t="s">
        <v>323</v>
      </c>
      <c r="C547" s="403" t="str">
        <f aca="false">IF(K514&gt;130,"-",IF(K514&lt;110,"-",IF(K514&lt;130,"X",0)))</f>
        <v>-</v>
      </c>
      <c r="D547" s="142"/>
      <c r="E547" s="470" t="str">
        <f aca="false">IF($C$49="X"," ",IF(C547="X",N547,IF(C547="-"," ",0)))</f>
        <v> </v>
      </c>
      <c r="F547" s="205" t="s">
        <v>324</v>
      </c>
      <c r="G547" s="403" t="str">
        <f aca="false">IF(K516&gt;50,"-",IF(K516&gt;45,"X","-"))</f>
        <v>-</v>
      </c>
      <c r="H547" s="142"/>
      <c r="I547" s="142"/>
      <c r="J547" s="469" t="str">
        <f aca="false">O547</f>
        <v> </v>
      </c>
      <c r="K547" s="475"/>
      <c r="L547" s="379"/>
      <c r="M547" s="471" t="n">
        <f aca="false">IF(E547=" ",0,IF(G545="x","9%",IF(G543="x","9%",IF(E547="8%","8%",0))))</f>
        <v>0</v>
      </c>
      <c r="N547" s="472" t="n">
        <v>0.08</v>
      </c>
      <c r="O547" s="425" t="str">
        <f aca="false">IF(E547&lt;&gt;" ",IF(K516&gt;50,P547,N547)," ")</f>
        <v> </v>
      </c>
      <c r="P547" s="472" t="n">
        <v>0.09</v>
      </c>
    </row>
    <row r="548" customFormat="false" ht="5.1" hidden="false" customHeight="true" outlineLevel="0" collapsed="false">
      <c r="A548" s="167"/>
      <c r="B548" s="295"/>
      <c r="C548" s="142"/>
      <c r="D548" s="142"/>
      <c r="E548" s="105"/>
      <c r="F548" s="205"/>
      <c r="G548" s="142"/>
      <c r="H548" s="142"/>
      <c r="I548" s="142"/>
      <c r="J548" s="156"/>
      <c r="K548" s="142"/>
      <c r="L548" s="379"/>
      <c r="M548" s="471"/>
    </row>
    <row r="549" customFormat="false" ht="13.2" hidden="false" customHeight="true" outlineLevel="0" collapsed="false">
      <c r="A549" s="167"/>
      <c r="B549" s="295" t="s">
        <v>325</v>
      </c>
      <c r="C549" s="403" t="str">
        <f aca="false">IF(K514&gt;110,"-",IF(K514&lt;95,"-",IF(K514&lt;110,"X",0)))</f>
        <v>-</v>
      </c>
      <c r="D549" s="142"/>
      <c r="E549" s="470" t="str">
        <f aca="false">IF($C$49="X"," ",IF(C549="X",N549,IF(C549="-"," ",0)))</f>
        <v> </v>
      </c>
      <c r="F549" s="205" t="s">
        <v>326</v>
      </c>
      <c r="G549" s="403" t="str">
        <f aca="false">IF(K516&gt;45,"-",IF(K516&gt;40,"X","-"))</f>
        <v>-</v>
      </c>
      <c r="H549" s="142"/>
      <c r="I549" s="142"/>
      <c r="J549" s="469" t="str">
        <f aca="false">O549</f>
        <v> </v>
      </c>
      <c r="K549" s="475"/>
      <c r="L549" s="379"/>
      <c r="M549" s="471" t="n">
        <f aca="false">IF(E549=" ",0,IF(G547="x","8%",IF(G545="x","8%",IF(G543="x","8%",IF(E549="7%","7%",0)))))</f>
        <v>0</v>
      </c>
      <c r="N549" s="472" t="n">
        <v>0.07</v>
      </c>
      <c r="O549" s="425" t="str">
        <f aca="false">IF(E549&lt;&gt;" ",IF(K516&gt;45,P549,N549)," ")</f>
        <v> </v>
      </c>
      <c r="P549" s="472" t="n">
        <v>0.08</v>
      </c>
    </row>
    <row r="550" customFormat="false" ht="5.1" hidden="false" customHeight="true" outlineLevel="0" collapsed="false">
      <c r="A550" s="167"/>
      <c r="B550" s="295"/>
      <c r="C550" s="142"/>
      <c r="D550" s="142"/>
      <c r="E550" s="105"/>
      <c r="F550" s="205"/>
      <c r="G550" s="142"/>
      <c r="H550" s="142"/>
      <c r="I550" s="142"/>
      <c r="J550" s="156"/>
      <c r="K550" s="142"/>
      <c r="L550" s="379"/>
      <c r="M550" s="474"/>
    </row>
    <row r="551" customFormat="false" ht="13.2" hidden="false" customHeight="true" outlineLevel="0" collapsed="false">
      <c r="A551" s="167"/>
      <c r="B551" s="295" t="s">
        <v>327</v>
      </c>
      <c r="C551" s="403" t="str">
        <f aca="false">IF(K514&lt;95,"X","-")</f>
        <v>X</v>
      </c>
      <c r="D551" s="142"/>
      <c r="E551" s="469" t="n">
        <f aca="false">IF($C$49="X"," ",IF(C551="X",N551,IF(C551="-"," ",0)))</f>
        <v>0.07</v>
      </c>
      <c r="F551" s="205" t="s">
        <v>328</v>
      </c>
      <c r="G551" s="403" t="str">
        <f aca="false">IF(K516&lt;=40,"X","-")</f>
        <v>X</v>
      </c>
      <c r="H551" s="142"/>
      <c r="I551" s="142"/>
      <c r="J551" s="469" t="n">
        <f aca="false">O551</f>
        <v>0.07</v>
      </c>
      <c r="K551" s="475"/>
      <c r="L551" s="379"/>
      <c r="M551" s="471" t="n">
        <f aca="false">IF(E551=" ",0,IF(G549="x","8%",IF(G547="x","8%",IF(G545="x","8%",IF(G543="x","8%",IF(E551="7%","7%",0))))))</f>
        <v>0</v>
      </c>
      <c r="N551" s="472" t="n">
        <v>0.07</v>
      </c>
      <c r="O551" s="472" t="n">
        <f aca="false">IF(E551&lt;&gt;" ",IF(K516&gt;40,P551,N551)," ")</f>
        <v>0.07</v>
      </c>
      <c r="P551" s="472" t="n">
        <v>0.08</v>
      </c>
    </row>
    <row r="552" customFormat="false" ht="5.1" hidden="false" customHeight="true" outlineLevel="0" collapsed="false">
      <c r="A552" s="167"/>
      <c r="B552" s="142"/>
      <c r="C552" s="142"/>
      <c r="D552" s="142"/>
      <c r="E552" s="105"/>
      <c r="K552" s="142"/>
      <c r="L552" s="379"/>
      <c r="M552" s="474"/>
    </row>
    <row r="553" customFormat="false" ht="13.2" hidden="false" customHeight="true" outlineLevel="0" collapsed="false">
      <c r="A553" s="167"/>
      <c r="B553" s="295" t="s">
        <v>329</v>
      </c>
      <c r="C553" s="476"/>
      <c r="D553" s="142"/>
      <c r="E553" s="475" t="str">
        <f aca="false">IF(C553="X",N553," ")</f>
        <v> </v>
      </c>
      <c r="J553" s="477" t="str">
        <f aca="false">E553</f>
        <v> </v>
      </c>
      <c r="K553" s="475" t="s">
        <v>330</v>
      </c>
      <c r="L553" s="379"/>
      <c r="M553" s="471" t="n">
        <f aca="false">IF(J553=" ",0,IF(J553="10%",0.1,0))</f>
        <v>0</v>
      </c>
      <c r="N553" s="472" t="n">
        <v>0.1</v>
      </c>
    </row>
    <row r="554" customFormat="false" ht="9" hidden="false" customHeight="true" outlineLevel="0" collapsed="false">
      <c r="A554" s="167"/>
      <c r="B554" s="142"/>
      <c r="C554" s="142"/>
      <c r="D554" s="142"/>
      <c r="E554" s="142"/>
      <c r="F554" s="142"/>
      <c r="G554" s="142"/>
      <c r="H554" s="142"/>
      <c r="I554" s="142"/>
      <c r="J554" s="142"/>
      <c r="K554" s="142"/>
      <c r="L554" s="379"/>
      <c r="M554" s="471" t="n">
        <f aca="false">M543+M545+M547+M549+M551+M553</f>
        <v>0</v>
      </c>
    </row>
    <row r="555" customFormat="false" ht="6" hidden="false" customHeight="true" outlineLevel="0" collapsed="false">
      <c r="A555" s="167"/>
      <c r="B555" s="142"/>
      <c r="C555" s="142"/>
      <c r="D555" s="142"/>
      <c r="E555" s="142"/>
      <c r="F555" s="142"/>
      <c r="G555" s="142"/>
      <c r="H555" s="142"/>
      <c r="I555" s="142"/>
      <c r="J555" s="142"/>
      <c r="K555" s="142"/>
      <c r="L555" s="379"/>
      <c r="M555" s="318"/>
    </row>
    <row r="556" customFormat="false" ht="12.75" hidden="false" customHeight="true" outlineLevel="0" collapsed="false">
      <c r="A556" s="167"/>
      <c r="B556" s="142" t="s">
        <v>331</v>
      </c>
      <c r="C556" s="142"/>
      <c r="D556" s="142"/>
      <c r="E556" s="142"/>
      <c r="F556" s="142"/>
      <c r="G556" s="476"/>
      <c r="H556" s="142"/>
      <c r="I556" s="142"/>
      <c r="J556" s="142"/>
      <c r="K556" s="142"/>
      <c r="L556" s="379"/>
      <c r="M556" s="318"/>
      <c r="N556" s="425" t="n">
        <f aca="false">IF(G556="X",1,0)</f>
        <v>0</v>
      </c>
    </row>
    <row r="557" customFormat="false" ht="6" hidden="false" customHeight="true" outlineLevel="0" collapsed="false">
      <c r="A557" s="167"/>
      <c r="B557" s="142"/>
      <c r="C557" s="142"/>
      <c r="D557" s="142"/>
      <c r="E557" s="142"/>
      <c r="F557" s="142"/>
      <c r="G557" s="295"/>
      <c r="H557" s="142"/>
      <c r="I557" s="142"/>
      <c r="J557" s="142"/>
      <c r="K557" s="142"/>
      <c r="L557" s="379"/>
      <c r="M557" s="318"/>
    </row>
    <row r="558" customFormat="false" ht="13.2" hidden="false" customHeight="true" outlineLevel="0" collapsed="false">
      <c r="A558" s="167"/>
      <c r="B558" s="142" t="s">
        <v>332</v>
      </c>
      <c r="C558" s="142"/>
      <c r="D558" s="142"/>
      <c r="E558" s="142"/>
      <c r="F558" s="142"/>
      <c r="G558" s="476" t="s">
        <v>238</v>
      </c>
      <c r="H558" s="142"/>
      <c r="I558" s="142"/>
      <c r="J558" s="142"/>
      <c r="K558" s="142"/>
      <c r="L558" s="379"/>
      <c r="M558" s="318"/>
      <c r="N558" s="425" t="n">
        <f aca="false">IF(G558="X",1,0)</f>
        <v>0</v>
      </c>
    </row>
    <row r="559" customFormat="false" ht="5.1" hidden="false" customHeight="true" outlineLevel="0" collapsed="false">
      <c r="A559" s="167"/>
      <c r="B559" s="142"/>
      <c r="C559" s="142"/>
      <c r="D559" s="142"/>
      <c r="E559" s="142"/>
      <c r="F559" s="142"/>
      <c r="G559" s="295"/>
      <c r="H559" s="142"/>
      <c r="I559" s="142"/>
      <c r="J559" s="142"/>
      <c r="K559" s="142"/>
      <c r="L559" s="379"/>
      <c r="M559" s="318"/>
    </row>
    <row r="560" customFormat="false" ht="12.75" hidden="false" customHeight="true" outlineLevel="0" collapsed="false">
      <c r="A560" s="167"/>
      <c r="B560" s="142" t="s">
        <v>333</v>
      </c>
      <c r="C560" s="142"/>
      <c r="D560" s="142"/>
      <c r="E560" s="142"/>
      <c r="F560" s="142"/>
      <c r="G560" s="476"/>
      <c r="H560" s="142"/>
      <c r="I560" s="142"/>
      <c r="J560" s="142"/>
      <c r="K560" s="142"/>
      <c r="L560" s="379"/>
      <c r="M560" s="318"/>
      <c r="N560" s="425" t="n">
        <f aca="false">IF(G560="X",1,0)</f>
        <v>0</v>
      </c>
    </row>
    <row r="561" customFormat="false" ht="4.5" hidden="false" customHeight="true" outlineLevel="0" collapsed="false">
      <c r="A561" s="167"/>
      <c r="B561" s="142"/>
      <c r="C561" s="142"/>
      <c r="D561" s="142"/>
      <c r="E561" s="142"/>
      <c r="F561" s="142"/>
      <c r="G561" s="142"/>
      <c r="H561" s="142"/>
      <c r="I561" s="142"/>
      <c r="J561" s="142"/>
      <c r="K561" s="142"/>
      <c r="L561" s="379"/>
      <c r="M561" s="318"/>
    </row>
    <row r="562" customFormat="false" ht="15" hidden="false" customHeight="true" outlineLevel="0" collapsed="false">
      <c r="A562" s="167"/>
      <c r="B562" s="142" t="s">
        <v>334</v>
      </c>
      <c r="C562" s="142"/>
      <c r="D562" s="142"/>
      <c r="E562" s="142"/>
      <c r="F562" s="142"/>
      <c r="G562" s="142"/>
      <c r="H562" s="142"/>
      <c r="I562" s="142"/>
      <c r="J562" s="142"/>
      <c r="K562" s="478" t="n">
        <f aca="false">IF(N562&gt;0,O562-0.01,O562)</f>
        <v>0.07</v>
      </c>
      <c r="L562" s="478"/>
      <c r="M562" s="318"/>
      <c r="N562" s="425" t="n">
        <f aca="false">N556+N558+N560</f>
        <v>0</v>
      </c>
      <c r="O562" s="473" t="n">
        <f aca="false">IF(J553&lt;&gt;" ",J553,P539)</f>
        <v>0.07</v>
      </c>
    </row>
    <row r="563" customFormat="false" ht="4.5" hidden="false" customHeight="true" outlineLevel="0" collapsed="false">
      <c r="A563" s="167"/>
      <c r="B563" s="142"/>
      <c r="C563" s="142"/>
      <c r="D563" s="142"/>
      <c r="E563" s="142"/>
      <c r="F563" s="142"/>
      <c r="G563" s="142"/>
      <c r="H563" s="142"/>
      <c r="I563" s="142"/>
      <c r="J563" s="142"/>
      <c r="K563" s="142"/>
      <c r="L563" s="379"/>
      <c r="M563" s="318"/>
    </row>
    <row r="564" customFormat="false" ht="4.5" hidden="false" customHeight="true" outlineLevel="0" collapsed="false">
      <c r="A564" s="167"/>
      <c r="B564" s="142"/>
      <c r="C564" s="142"/>
      <c r="D564" s="142"/>
      <c r="E564" s="142"/>
      <c r="F564" s="142"/>
      <c r="G564" s="142"/>
      <c r="H564" s="142"/>
      <c r="I564" s="142"/>
      <c r="J564" s="142"/>
      <c r="K564" s="142"/>
      <c r="L564" s="379"/>
      <c r="M564" s="318"/>
    </row>
    <row r="565" customFormat="false" ht="12.75" hidden="false" customHeight="true" outlineLevel="0" collapsed="false">
      <c r="A565" s="467" t="s">
        <v>335</v>
      </c>
      <c r="B565" s="467"/>
      <c r="C565" s="467"/>
      <c r="D565" s="467"/>
      <c r="E565" s="467"/>
      <c r="F565" s="467"/>
      <c r="G565" s="467"/>
      <c r="H565" s="467"/>
      <c r="I565" s="467"/>
      <c r="J565" s="467"/>
      <c r="K565" s="467"/>
      <c r="L565" s="467"/>
      <c r="M565" s="318"/>
    </row>
    <row r="566" customFormat="false" ht="6" hidden="false" customHeight="true" outlineLevel="0" collapsed="false">
      <c r="A566" s="167"/>
      <c r="B566" s="142"/>
      <c r="C566" s="142"/>
      <c r="D566" s="142"/>
      <c r="E566" s="142"/>
      <c r="F566" s="142"/>
      <c r="G566" s="142"/>
      <c r="H566" s="142"/>
      <c r="I566" s="142"/>
      <c r="J566" s="142"/>
      <c r="K566" s="142"/>
      <c r="L566" s="379"/>
      <c r="M566" s="318"/>
    </row>
    <row r="567" customFormat="false" ht="18" hidden="false" customHeight="true" outlineLevel="0" collapsed="false">
      <c r="A567" s="167"/>
      <c r="B567" s="142" t="s">
        <v>336</v>
      </c>
      <c r="C567" s="142"/>
      <c r="D567" s="142"/>
      <c r="E567" s="142"/>
      <c r="F567" s="142"/>
      <c r="G567" s="142"/>
      <c r="H567" s="142" t="s">
        <v>169</v>
      </c>
      <c r="I567" s="479" t="n">
        <f aca="false">K533</f>
        <v>0</v>
      </c>
      <c r="J567" s="479"/>
      <c r="K567" s="479"/>
      <c r="L567" s="479"/>
      <c r="M567" s="318"/>
    </row>
    <row r="568" customFormat="false" ht="5.1" hidden="false" customHeight="true" outlineLevel="0" collapsed="false">
      <c r="A568" s="167"/>
      <c r="B568" s="142"/>
      <c r="C568" s="142"/>
      <c r="D568" s="142"/>
      <c r="E568" s="142"/>
      <c r="F568" s="142"/>
      <c r="G568" s="142"/>
      <c r="H568" s="142"/>
      <c r="I568" s="142"/>
      <c r="J568" s="142"/>
      <c r="K568" s="142"/>
      <c r="L568" s="379"/>
      <c r="M568" s="318"/>
    </row>
    <row r="569" customFormat="false" ht="18" hidden="false" customHeight="true" outlineLevel="0" collapsed="false">
      <c r="A569" s="167"/>
      <c r="B569" s="142" t="s">
        <v>337</v>
      </c>
      <c r="C569" s="142"/>
      <c r="D569" s="142"/>
      <c r="E569" s="142"/>
      <c r="F569" s="142"/>
      <c r="G569" s="142"/>
      <c r="H569" s="142" t="s">
        <v>338</v>
      </c>
      <c r="I569" s="480" t="n">
        <f aca="false">K562</f>
        <v>0.07</v>
      </c>
      <c r="J569" s="480"/>
      <c r="K569" s="480"/>
      <c r="L569" s="480"/>
      <c r="M569" s="318"/>
    </row>
    <row r="570" customFormat="false" ht="5.1" hidden="false" customHeight="true" outlineLevel="0" collapsed="false">
      <c r="A570" s="167"/>
      <c r="B570" s="142"/>
      <c r="C570" s="142"/>
      <c r="D570" s="142"/>
      <c r="E570" s="142"/>
      <c r="F570" s="142"/>
      <c r="G570" s="142"/>
      <c r="H570" s="142"/>
      <c r="I570" s="142"/>
      <c r="J570" s="142"/>
      <c r="K570" s="142"/>
      <c r="L570" s="379"/>
      <c r="M570" s="318"/>
    </row>
    <row r="571" customFormat="false" ht="18" hidden="false" customHeight="true" outlineLevel="0" collapsed="false">
      <c r="A571" s="481"/>
      <c r="B571" s="197" t="s">
        <v>339</v>
      </c>
      <c r="C571" s="197"/>
      <c r="D571" s="197"/>
      <c r="E571" s="197"/>
      <c r="F571" s="197"/>
      <c r="G571" s="197"/>
      <c r="H571" s="197" t="s">
        <v>169</v>
      </c>
      <c r="I571" s="482" t="n">
        <f aca="false">I567*I569</f>
        <v>0</v>
      </c>
      <c r="J571" s="482"/>
      <c r="K571" s="482"/>
      <c r="L571" s="482"/>
      <c r="M571" s="318"/>
    </row>
    <row r="572" s="112" customFormat="true" ht="28.35" hidden="false" customHeight="true" outlineLevel="0" collapsed="false">
      <c r="A572" s="483"/>
      <c r="B572" s="484"/>
      <c r="C572" s="484"/>
      <c r="D572" s="484"/>
      <c r="E572" s="484"/>
      <c r="F572" s="484"/>
      <c r="G572" s="484"/>
      <c r="H572" s="484"/>
      <c r="I572" s="484"/>
      <c r="J572" s="484"/>
      <c r="K572" s="484"/>
      <c r="L572" s="485"/>
      <c r="M572" s="430"/>
      <c r="N572" s="118"/>
      <c r="O572" s="118"/>
      <c r="P572" s="118"/>
      <c r="Q572" s="118"/>
      <c r="R572" s="118"/>
    </row>
    <row r="573" s="112" customFormat="true" ht="18" hidden="false" customHeight="true" outlineLevel="0" collapsed="false">
      <c r="A573" s="432" t="s">
        <v>341</v>
      </c>
      <c r="B573" s="209"/>
      <c r="C573" s="209"/>
      <c r="D573" s="209"/>
      <c r="E573" s="209"/>
      <c r="F573" s="434" t="s">
        <v>162</v>
      </c>
      <c r="G573" s="211"/>
      <c r="H573" s="211"/>
      <c r="I573" s="123"/>
      <c r="J573" s="436"/>
      <c r="K573" s="434" t="s">
        <v>297</v>
      </c>
      <c r="L573" s="437"/>
      <c r="M573" s="430"/>
      <c r="N573" s="118"/>
      <c r="O573" s="118"/>
      <c r="P573" s="118"/>
      <c r="Q573" s="118"/>
      <c r="R573" s="118"/>
    </row>
    <row r="574" s="112" customFormat="true" ht="9.75" hidden="false" customHeight="true" outlineLevel="0" collapsed="false">
      <c r="A574" s="438"/>
      <c r="B574" s="439"/>
      <c r="C574" s="440"/>
      <c r="D574" s="440"/>
      <c r="E574" s="123"/>
      <c r="F574" s="440"/>
      <c r="G574" s="434"/>
      <c r="H574" s="440"/>
      <c r="I574" s="123"/>
      <c r="J574" s="434"/>
      <c r="K574" s="441"/>
      <c r="L574" s="488"/>
      <c r="M574" s="430"/>
      <c r="N574" s="118"/>
      <c r="O574" s="118"/>
      <c r="P574" s="118"/>
      <c r="Q574" s="118"/>
      <c r="R574" s="118"/>
    </row>
    <row r="575" customFormat="false" ht="13.2" hidden="false" customHeight="true" outlineLevel="0" collapsed="false">
      <c r="A575" s="442" t="s">
        <v>298</v>
      </c>
      <c r="B575" s="442"/>
      <c r="C575" s="442"/>
      <c r="D575" s="442"/>
      <c r="E575" s="442"/>
      <c r="F575" s="442"/>
      <c r="G575" s="442"/>
      <c r="H575" s="442"/>
      <c r="I575" s="442"/>
      <c r="J575" s="442"/>
      <c r="K575" s="442"/>
      <c r="L575" s="442"/>
      <c r="M575" s="318"/>
    </row>
    <row r="576" customFormat="false" ht="9" hidden="false" customHeight="true" outlineLevel="0" collapsed="false">
      <c r="A576" s="443"/>
      <c r="B576" s="444"/>
      <c r="C576" s="101"/>
      <c r="D576" s="101"/>
      <c r="E576" s="101"/>
      <c r="F576" s="101"/>
      <c r="G576" s="101"/>
      <c r="H576" s="101"/>
      <c r="I576" s="101"/>
      <c r="J576" s="101"/>
      <c r="K576" s="101"/>
      <c r="L576" s="445"/>
    </row>
    <row r="577" customFormat="false" ht="12.75" hidden="false" customHeight="true" outlineLevel="0" collapsed="false">
      <c r="A577" s="443"/>
      <c r="B577" s="446" t="s">
        <v>299</v>
      </c>
      <c r="C577" s="101"/>
      <c r="D577" s="101"/>
      <c r="E577" s="101"/>
      <c r="F577" s="101"/>
      <c r="G577" s="101"/>
      <c r="H577" s="101"/>
      <c r="I577" s="101"/>
      <c r="J577" s="101"/>
      <c r="K577" s="447"/>
      <c r="L577" s="448"/>
    </row>
    <row r="578" customFormat="false" ht="9" hidden="false" customHeight="true" outlineLevel="0" collapsed="false">
      <c r="A578" s="443"/>
      <c r="B578" s="444"/>
      <c r="C578" s="101"/>
      <c r="D578" s="101"/>
      <c r="E578" s="101"/>
      <c r="F578" s="101"/>
      <c r="G578" s="101"/>
      <c r="H578" s="101"/>
      <c r="I578" s="101"/>
      <c r="J578" s="101"/>
      <c r="K578" s="449"/>
      <c r="L578" s="448"/>
    </row>
    <row r="579" customFormat="false" ht="12.75" hidden="false" customHeight="true" outlineLevel="0" collapsed="false">
      <c r="A579" s="443"/>
      <c r="B579" s="446" t="s">
        <v>300</v>
      </c>
      <c r="C579" s="101"/>
      <c r="D579" s="101"/>
      <c r="E579" s="101"/>
      <c r="F579" s="101"/>
      <c r="G579" s="101"/>
      <c r="H579" s="101"/>
      <c r="I579" s="101"/>
      <c r="J579" s="101"/>
      <c r="K579" s="447"/>
      <c r="L579" s="448"/>
    </row>
    <row r="580" customFormat="false" ht="6.75" hidden="false" customHeight="true" outlineLevel="0" collapsed="false">
      <c r="A580" s="443"/>
      <c r="B580" s="444"/>
      <c r="C580" s="101"/>
      <c r="D580" s="101"/>
      <c r="E580" s="101"/>
      <c r="F580" s="101"/>
      <c r="G580" s="101"/>
      <c r="H580" s="101"/>
      <c r="I580" s="101"/>
      <c r="J580" s="101"/>
      <c r="K580" s="101"/>
      <c r="L580" s="450"/>
    </row>
    <row r="581" customFormat="false" ht="12.75" hidden="false" customHeight="true" outlineLevel="0" collapsed="false">
      <c r="A581" s="443" t="s">
        <v>301</v>
      </c>
      <c r="B581" s="101" t="s">
        <v>302</v>
      </c>
      <c r="C581" s="101"/>
      <c r="D581" s="101"/>
      <c r="E581" s="101"/>
      <c r="F581" s="101"/>
      <c r="G581" s="101"/>
      <c r="H581" s="101"/>
      <c r="I581" s="101"/>
      <c r="J581" s="444" t="s">
        <v>205</v>
      </c>
      <c r="K581" s="447"/>
      <c r="L581" s="448"/>
      <c r="M581" s="318"/>
    </row>
    <row r="582" customFormat="false" ht="9" hidden="false" customHeight="true" outlineLevel="0" collapsed="false">
      <c r="A582" s="443"/>
      <c r="B582" s="101"/>
      <c r="C582" s="101"/>
      <c r="D582" s="101"/>
      <c r="E582" s="101"/>
      <c r="F582" s="101"/>
      <c r="G582" s="101"/>
      <c r="H582" s="101"/>
      <c r="I582" s="101"/>
      <c r="J582" s="444"/>
      <c r="K582" s="101"/>
      <c r="L582" s="450"/>
      <c r="M582" s="318"/>
    </row>
    <row r="583" customFormat="false" ht="12.75" hidden="false" customHeight="true" outlineLevel="0" collapsed="false">
      <c r="A583" s="443"/>
      <c r="B583" s="451" t="s">
        <v>303</v>
      </c>
      <c r="C583" s="451"/>
      <c r="D583" s="451"/>
      <c r="E583" s="101"/>
      <c r="F583" s="101"/>
      <c r="G583" s="101"/>
      <c r="H583" s="101"/>
      <c r="I583" s="101"/>
      <c r="J583" s="444"/>
      <c r="K583" s="101"/>
      <c r="L583" s="452"/>
      <c r="M583" s="318"/>
    </row>
    <row r="584" customFormat="false" ht="12.75" hidden="false" customHeight="true" outlineLevel="0" collapsed="false">
      <c r="A584" s="453" t="s">
        <v>304</v>
      </c>
      <c r="B584" s="451"/>
      <c r="C584" s="451"/>
      <c r="D584" s="451"/>
      <c r="E584" s="101" t="s">
        <v>205</v>
      </c>
      <c r="F584" s="454"/>
      <c r="G584" s="444" t="s">
        <v>305</v>
      </c>
      <c r="H584" s="101" t="n">
        <v>0.6</v>
      </c>
      <c r="I584" s="101" t="s">
        <v>306</v>
      </c>
      <c r="J584" s="444" t="s">
        <v>205</v>
      </c>
      <c r="K584" s="455" t="n">
        <f aca="false">IF(F584&gt;0,F584*H584,0)</f>
        <v>0</v>
      </c>
      <c r="L584" s="456"/>
      <c r="M584" s="318"/>
    </row>
    <row r="585" customFormat="false" ht="6" hidden="false" customHeight="true" outlineLevel="0" collapsed="false">
      <c r="A585" s="443"/>
      <c r="B585" s="101"/>
      <c r="C585" s="101"/>
      <c r="D585" s="101"/>
      <c r="E585" s="101"/>
      <c r="F585" s="101"/>
      <c r="G585" s="101"/>
      <c r="H585" s="101"/>
      <c r="I585" s="101"/>
      <c r="J585" s="444"/>
      <c r="K585" s="101"/>
      <c r="L585" s="450"/>
      <c r="M585" s="318"/>
    </row>
    <row r="586" customFormat="false" ht="13.2" hidden="false" customHeight="true" outlineLevel="0" collapsed="false">
      <c r="A586" s="443"/>
      <c r="B586" s="101"/>
      <c r="C586" s="101"/>
      <c r="D586" s="101"/>
      <c r="E586" s="101"/>
      <c r="F586" s="101"/>
      <c r="G586" s="101"/>
      <c r="H586" s="101"/>
      <c r="I586" s="101"/>
      <c r="J586" s="444"/>
      <c r="K586" s="101"/>
      <c r="L586" s="450"/>
      <c r="M586" s="318"/>
    </row>
    <row r="587" customFormat="false" ht="12.75" hidden="false" customHeight="true" outlineLevel="0" collapsed="false">
      <c r="A587" s="443"/>
      <c r="B587" s="157"/>
      <c r="C587" s="101"/>
      <c r="D587" s="101"/>
      <c r="E587" s="101"/>
      <c r="F587" s="101"/>
      <c r="G587" s="101"/>
      <c r="H587" s="101"/>
      <c r="I587" s="101"/>
      <c r="J587" s="444"/>
      <c r="K587" s="457"/>
      <c r="L587" s="448"/>
      <c r="M587" s="318"/>
    </row>
    <row r="588" customFormat="false" ht="8.25" hidden="false" customHeight="true" outlineLevel="0" collapsed="false">
      <c r="A588" s="443"/>
      <c r="B588" s="157"/>
      <c r="C588" s="101"/>
      <c r="D588" s="101"/>
      <c r="E588" s="101"/>
      <c r="F588" s="101"/>
      <c r="G588" s="101"/>
      <c r="H588" s="101"/>
      <c r="I588" s="101"/>
      <c r="J588" s="444"/>
      <c r="K588" s="101"/>
      <c r="L588" s="450"/>
      <c r="M588" s="318"/>
    </row>
    <row r="589" customFormat="false" ht="12.75" hidden="false" customHeight="true" outlineLevel="0" collapsed="false">
      <c r="A589" s="443" t="s">
        <v>307</v>
      </c>
      <c r="B589" s="101" t="s">
        <v>308</v>
      </c>
      <c r="C589" s="101"/>
      <c r="D589" s="101"/>
      <c r="E589" s="101"/>
      <c r="F589" s="101"/>
      <c r="G589" s="101"/>
      <c r="H589" s="101"/>
      <c r="I589" s="101"/>
      <c r="J589" s="444" t="s">
        <v>205</v>
      </c>
      <c r="K589" s="458" t="n">
        <f aca="false">K581+K584+K587</f>
        <v>0</v>
      </c>
      <c r="L589" s="459"/>
      <c r="M589" s="318"/>
    </row>
    <row r="590" customFormat="false" ht="8.25" hidden="false" customHeight="true" outlineLevel="0" collapsed="false">
      <c r="A590" s="443"/>
      <c r="B590" s="101"/>
      <c r="C590" s="101"/>
      <c r="D590" s="101"/>
      <c r="E590" s="101"/>
      <c r="F590" s="101"/>
      <c r="G590" s="101"/>
      <c r="H590" s="101"/>
      <c r="I590" s="101"/>
      <c r="J590" s="444"/>
      <c r="K590" s="101"/>
      <c r="L590" s="450"/>
      <c r="M590" s="318"/>
    </row>
    <row r="591" customFormat="false" ht="13.2" hidden="false" customHeight="true" outlineLevel="0" collapsed="false">
      <c r="A591" s="443" t="s">
        <v>309</v>
      </c>
      <c r="B591" s="101" t="s">
        <v>310</v>
      </c>
      <c r="C591" s="101"/>
      <c r="D591" s="101"/>
      <c r="E591" s="101"/>
      <c r="F591" s="101"/>
      <c r="G591" s="101"/>
      <c r="H591" s="101"/>
      <c r="I591" s="101"/>
      <c r="J591" s="444"/>
      <c r="K591" s="101"/>
      <c r="L591" s="450"/>
      <c r="M591" s="318"/>
    </row>
    <row r="592" customFormat="false" ht="12.75" hidden="false" customHeight="true" outlineLevel="0" collapsed="false">
      <c r="A592" s="443"/>
      <c r="B592" s="157" t="s">
        <v>311</v>
      </c>
      <c r="C592" s="101"/>
      <c r="D592" s="101"/>
      <c r="E592" s="101"/>
      <c r="F592" s="101"/>
      <c r="G592" s="101"/>
      <c r="H592" s="101"/>
      <c r="I592" s="101"/>
      <c r="J592" s="444" t="s">
        <v>206</v>
      </c>
      <c r="K592" s="455" t="n">
        <f aca="false">('costo-mq'!$O$82)/2</f>
        <v>156.36555</v>
      </c>
      <c r="L592" s="456"/>
    </row>
    <row r="593" customFormat="false" ht="6" hidden="false" customHeight="true" outlineLevel="0" collapsed="false">
      <c r="A593" s="443"/>
      <c r="B593" s="101"/>
      <c r="C593" s="101"/>
      <c r="D593" s="101"/>
      <c r="E593" s="101"/>
      <c r="F593" s="101"/>
      <c r="G593" s="101"/>
      <c r="H593" s="101"/>
      <c r="I593" s="101"/>
      <c r="J593" s="444"/>
      <c r="K593" s="154"/>
      <c r="L593" s="460"/>
      <c r="M593" s="318"/>
    </row>
    <row r="594" customFormat="false" ht="18" hidden="false" customHeight="true" outlineLevel="0" collapsed="false">
      <c r="A594" s="443"/>
      <c r="B594" s="101"/>
      <c r="C594" s="101"/>
      <c r="D594" s="101"/>
      <c r="E594" s="101"/>
      <c r="F594" s="101"/>
      <c r="G594" s="101"/>
      <c r="H594" s="461"/>
      <c r="I594" s="101"/>
      <c r="J594" s="444"/>
      <c r="K594" s="154"/>
      <c r="L594" s="460"/>
      <c r="M594" s="462"/>
    </row>
    <row r="595" customFormat="false" ht="6" hidden="false" customHeight="true" outlineLevel="0" collapsed="false">
      <c r="A595" s="443"/>
      <c r="B595" s="101"/>
      <c r="C595" s="101"/>
      <c r="D595" s="101"/>
      <c r="E595" s="101"/>
      <c r="F595" s="101"/>
      <c r="G595" s="101"/>
      <c r="H595" s="101"/>
      <c r="I595" s="101"/>
      <c r="J595" s="444"/>
      <c r="K595" s="154"/>
      <c r="L595" s="463"/>
      <c r="M595" s="318"/>
    </row>
    <row r="596" customFormat="false" ht="12.75" hidden="false" customHeight="true" outlineLevel="0" collapsed="false">
      <c r="A596" s="443" t="s">
        <v>312</v>
      </c>
      <c r="B596" s="464" t="s">
        <v>313</v>
      </c>
      <c r="C596" s="465"/>
      <c r="D596" s="465"/>
      <c r="E596" s="465"/>
      <c r="F596" s="465"/>
      <c r="G596" s="465"/>
      <c r="H596" s="465"/>
      <c r="I596" s="465"/>
      <c r="J596" s="466" t="s">
        <v>169</v>
      </c>
      <c r="K596" s="458" t="n">
        <f aca="false">K589*K592</f>
        <v>0</v>
      </c>
      <c r="L596" s="459"/>
      <c r="M596" s="318"/>
    </row>
    <row r="597" customFormat="false" ht="13.2" hidden="false" customHeight="true" outlineLevel="0" collapsed="false">
      <c r="A597" s="167"/>
      <c r="B597" s="142"/>
      <c r="C597" s="142"/>
      <c r="D597" s="142"/>
      <c r="E597" s="142"/>
      <c r="F597" s="142"/>
      <c r="G597" s="142"/>
      <c r="H597" s="142"/>
      <c r="I597" s="142"/>
      <c r="J597" s="142"/>
      <c r="K597" s="142"/>
      <c r="L597" s="379"/>
      <c r="M597" s="318"/>
    </row>
    <row r="598" customFormat="false" ht="5.1" hidden="false" customHeight="true" outlineLevel="0" collapsed="false">
      <c r="A598" s="167"/>
      <c r="B598" s="142"/>
      <c r="C598" s="142"/>
      <c r="D598" s="142"/>
      <c r="E598" s="142"/>
      <c r="F598" s="142"/>
      <c r="G598" s="142"/>
      <c r="H598" s="142"/>
      <c r="I598" s="142"/>
      <c r="J598" s="142"/>
      <c r="K598" s="142"/>
      <c r="L598" s="379"/>
      <c r="M598" s="318"/>
    </row>
    <row r="599" customFormat="false" ht="13.2" hidden="false" customHeight="true" outlineLevel="0" collapsed="false">
      <c r="A599" s="467" t="s">
        <v>314</v>
      </c>
      <c r="B599" s="467"/>
      <c r="C599" s="467"/>
      <c r="D599" s="467"/>
      <c r="E599" s="467"/>
      <c r="F599" s="467"/>
      <c r="G599" s="467"/>
      <c r="H599" s="467"/>
      <c r="I599" s="467"/>
      <c r="J599" s="467"/>
      <c r="K599" s="467"/>
      <c r="L599" s="467"/>
      <c r="M599" s="318"/>
    </row>
    <row r="600" customFormat="false" ht="5.1" hidden="false" customHeight="true" outlineLevel="0" collapsed="false">
      <c r="A600" s="167"/>
      <c r="B600" s="142"/>
      <c r="C600" s="142"/>
      <c r="D600" s="142"/>
      <c r="E600" s="142"/>
      <c r="F600" s="142"/>
      <c r="G600" s="142"/>
      <c r="H600" s="142"/>
      <c r="I600" s="142"/>
      <c r="J600" s="142"/>
      <c r="K600" s="142"/>
      <c r="L600" s="379"/>
      <c r="M600" s="318"/>
    </row>
    <row r="601" customFormat="false" ht="16.5" hidden="false" customHeight="true" outlineLevel="0" collapsed="false">
      <c r="A601" s="167"/>
      <c r="B601" s="352" t="s">
        <v>225</v>
      </c>
      <c r="C601" s="142"/>
      <c r="D601" s="383" t="s">
        <v>315</v>
      </c>
      <c r="E601" s="383"/>
      <c r="F601" s="388" t="s">
        <v>316</v>
      </c>
      <c r="G601" s="142"/>
      <c r="H601" s="142"/>
      <c r="I601" s="383" t="s">
        <v>317</v>
      </c>
      <c r="J601" s="383"/>
      <c r="K601" s="383"/>
      <c r="L601" s="379"/>
      <c r="M601" s="318"/>
    </row>
    <row r="602" customFormat="false" ht="11.25" hidden="false" customHeight="true" outlineLevel="0" collapsed="false">
      <c r="A602" s="167"/>
      <c r="B602" s="142"/>
      <c r="C602" s="142"/>
      <c r="D602" s="383"/>
      <c r="E602" s="383"/>
      <c r="F602" s="355"/>
      <c r="G602" s="142"/>
      <c r="H602" s="142"/>
      <c r="I602" s="383"/>
      <c r="J602" s="383"/>
      <c r="K602" s="383"/>
      <c r="L602" s="379"/>
      <c r="M602" s="318"/>
      <c r="N602" s="468" t="n">
        <f aca="false">SUM(E606:E616)</f>
        <v>0.07</v>
      </c>
      <c r="P602" s="468" t="n">
        <f aca="false">SUM(J604:J616)</f>
        <v>0.07</v>
      </c>
    </row>
    <row r="603" customFormat="false" ht="6" hidden="false" customHeight="true" outlineLevel="0" collapsed="false">
      <c r="A603" s="167"/>
      <c r="B603" s="142"/>
      <c r="C603" s="142"/>
      <c r="D603" s="383"/>
      <c r="E603" s="383"/>
      <c r="F603" s="355"/>
      <c r="G603" s="142"/>
      <c r="H603" s="142"/>
      <c r="I603" s="383"/>
      <c r="J603" s="383"/>
      <c r="K603" s="383"/>
      <c r="L603" s="379"/>
      <c r="M603" s="318"/>
    </row>
    <row r="604" customFormat="false" ht="13.5" hidden="false" customHeight="true" outlineLevel="0" collapsed="false">
      <c r="A604" s="167"/>
      <c r="B604" s="142"/>
      <c r="C604" s="142"/>
      <c r="D604" s="383"/>
      <c r="E604" s="383"/>
      <c r="F604" s="205" t="s">
        <v>318</v>
      </c>
      <c r="G604" s="403" t="str">
        <f aca="false">IF(K579&gt;60,"X","-")</f>
        <v>-</v>
      </c>
      <c r="H604" s="142"/>
      <c r="I604" s="142"/>
      <c r="J604" s="469"/>
      <c r="K604" s="383"/>
      <c r="L604" s="379"/>
      <c r="M604" s="318"/>
    </row>
    <row r="605" customFormat="false" ht="6" hidden="false" customHeight="true" outlineLevel="0" collapsed="false">
      <c r="A605" s="167"/>
      <c r="B605" s="142"/>
      <c r="C605" s="142"/>
      <c r="D605" s="142"/>
      <c r="E605" s="142"/>
      <c r="K605" s="142"/>
      <c r="L605" s="379"/>
      <c r="M605" s="318"/>
    </row>
    <row r="606" customFormat="false" ht="13.2" hidden="false" customHeight="true" outlineLevel="0" collapsed="false">
      <c r="A606" s="167"/>
      <c r="B606" s="295" t="s">
        <v>319</v>
      </c>
      <c r="C606" s="403" t="str">
        <f aca="false">IF(K577&gt;160,"X","-")</f>
        <v>-</v>
      </c>
      <c r="D606" s="142"/>
      <c r="E606" s="470" t="str">
        <f aca="false">IF($C$49="X"," ",IF(C606="X",N606,IF(C606="-"," ",0)))</f>
        <v> </v>
      </c>
      <c r="F606" s="205" t="s">
        <v>320</v>
      </c>
      <c r="G606" s="403" t="str">
        <f aca="false">IF(K579&gt;60,"-",IF(K579&gt;55,"X","-"))</f>
        <v>-</v>
      </c>
      <c r="H606" s="142"/>
      <c r="I606" s="142"/>
      <c r="J606" s="469" t="str">
        <f aca="false">O606</f>
        <v> </v>
      </c>
      <c r="L606" s="379"/>
      <c r="M606" s="471" t="n">
        <f aca="false">IF(E606=" ",0,IF(G606="x","9%",IF(G604="x","10%",0)))</f>
        <v>0</v>
      </c>
      <c r="N606" s="472" t="n">
        <v>0.09</v>
      </c>
      <c r="O606" s="473" t="str">
        <f aca="false">IF(E606&lt;&gt;" ",IF(K579&gt;60,P606,N606)," ")</f>
        <v> </v>
      </c>
      <c r="P606" s="472" t="n">
        <v>0.1</v>
      </c>
    </row>
    <row r="607" customFormat="false" ht="6" hidden="false" customHeight="true" outlineLevel="0" collapsed="false">
      <c r="A607" s="167"/>
      <c r="B607" s="295"/>
      <c r="C607" s="142"/>
      <c r="D607" s="142"/>
      <c r="E607" s="105"/>
      <c r="F607" s="205"/>
      <c r="G607" s="142"/>
      <c r="H607" s="142"/>
      <c r="I607" s="142"/>
      <c r="J607" s="156"/>
      <c r="L607" s="379"/>
      <c r="M607" s="474"/>
    </row>
    <row r="608" customFormat="false" ht="12.75" hidden="false" customHeight="true" outlineLevel="0" collapsed="false">
      <c r="A608" s="167"/>
      <c r="B608" s="295" t="s">
        <v>321</v>
      </c>
      <c r="C608" s="403" t="str">
        <f aca="false">IF(K577&gt;160,"-",IF(K577&lt;130,"-",IF(K577&lt;160,"X",0)))</f>
        <v>-</v>
      </c>
      <c r="D608" s="142"/>
      <c r="E608" s="470" t="str">
        <f aca="false">IF($C$49="X"," ",IF(C608="X",N608,IF(C608="-"," ",0)))</f>
        <v> </v>
      </c>
      <c r="F608" s="205" t="s">
        <v>322</v>
      </c>
      <c r="G608" s="403" t="str">
        <f aca="false">IF(K579&gt;55,"-",IF(K579&gt;50,"X","-"))</f>
        <v>-</v>
      </c>
      <c r="H608" s="142"/>
      <c r="I608" s="142"/>
      <c r="J608" s="469" t="str">
        <f aca="false">O608</f>
        <v> </v>
      </c>
      <c r="K608" s="475"/>
      <c r="L608" s="379"/>
      <c r="M608" s="471" t="n">
        <f aca="false">IF(E608=" ",0,IF(G606="x","9%",IF(E606="-","8%",0)))</f>
        <v>0</v>
      </c>
      <c r="N608" s="472" t="n">
        <v>0.08</v>
      </c>
      <c r="O608" s="425" t="str">
        <f aca="false">IF(E608&lt;&gt;" ",IF(K579&gt;55,P608,N608)," ")</f>
        <v> </v>
      </c>
      <c r="P608" s="472" t="n">
        <v>0.09</v>
      </c>
    </row>
    <row r="609" customFormat="false" ht="5.1" hidden="false" customHeight="true" outlineLevel="0" collapsed="false">
      <c r="A609" s="167"/>
      <c r="B609" s="295"/>
      <c r="C609" s="142"/>
      <c r="D609" s="142"/>
      <c r="E609" s="105"/>
      <c r="F609" s="205"/>
      <c r="G609" s="142"/>
      <c r="H609" s="142"/>
      <c r="I609" s="142"/>
      <c r="J609" s="156"/>
      <c r="K609" s="142"/>
      <c r="L609" s="379"/>
      <c r="M609" s="471"/>
    </row>
    <row r="610" customFormat="false" ht="13.2" hidden="false" customHeight="true" outlineLevel="0" collapsed="false">
      <c r="A610" s="167"/>
      <c r="B610" s="295" t="s">
        <v>323</v>
      </c>
      <c r="C610" s="403" t="str">
        <f aca="false">IF(K577&gt;130,"-",IF(K577&lt;110,"-",IF(K577&lt;130,"X",0)))</f>
        <v>-</v>
      </c>
      <c r="D610" s="142"/>
      <c r="E610" s="470" t="str">
        <f aca="false">IF($C$49="X"," ",IF(C610="X",N610,IF(C610="-"," ",0)))</f>
        <v> </v>
      </c>
      <c r="F610" s="205" t="s">
        <v>324</v>
      </c>
      <c r="G610" s="403" t="str">
        <f aca="false">IF(K579&gt;50,"-",IF(K579&gt;45,"X","-"))</f>
        <v>-</v>
      </c>
      <c r="H610" s="142"/>
      <c r="I610" s="142"/>
      <c r="J610" s="469" t="str">
        <f aca="false">O610</f>
        <v> </v>
      </c>
      <c r="K610" s="475"/>
      <c r="L610" s="379"/>
      <c r="M610" s="471" t="n">
        <f aca="false">IF(E610=" ",0,IF(G608="x","9%",IF(G606="x","9%",IF(E610="8%","8%",0))))</f>
        <v>0</v>
      </c>
      <c r="N610" s="472" t="n">
        <v>0.08</v>
      </c>
      <c r="O610" s="425" t="str">
        <f aca="false">IF(E610&lt;&gt;" ",IF(K579&gt;50,P610,N610)," ")</f>
        <v> </v>
      </c>
      <c r="P610" s="472" t="n">
        <v>0.09</v>
      </c>
    </row>
    <row r="611" customFormat="false" ht="5.1" hidden="false" customHeight="true" outlineLevel="0" collapsed="false">
      <c r="A611" s="167"/>
      <c r="B611" s="295"/>
      <c r="C611" s="142"/>
      <c r="D611" s="142"/>
      <c r="E611" s="105"/>
      <c r="F611" s="205"/>
      <c r="G611" s="142"/>
      <c r="H611" s="142"/>
      <c r="I611" s="142"/>
      <c r="J611" s="156"/>
      <c r="K611" s="142"/>
      <c r="L611" s="379"/>
      <c r="M611" s="471"/>
    </row>
    <row r="612" customFormat="false" ht="13.2" hidden="false" customHeight="true" outlineLevel="0" collapsed="false">
      <c r="A612" s="167"/>
      <c r="B612" s="295" t="s">
        <v>325</v>
      </c>
      <c r="C612" s="403" t="str">
        <f aca="false">IF(K577&gt;110,"-",IF(K577&lt;95,"-",IF(K577&lt;110,"X",0)))</f>
        <v>-</v>
      </c>
      <c r="D612" s="142"/>
      <c r="E612" s="470" t="str">
        <f aca="false">IF($C$49="X"," ",IF(C612="X",N612,IF(C612="-"," ",0)))</f>
        <v> </v>
      </c>
      <c r="F612" s="205" t="s">
        <v>326</v>
      </c>
      <c r="G612" s="403" t="str">
        <f aca="false">IF(K579&gt;45,"-",IF(K579&gt;40,"X","-"))</f>
        <v>-</v>
      </c>
      <c r="H612" s="142"/>
      <c r="I612" s="142"/>
      <c r="J612" s="469" t="str">
        <f aca="false">O612</f>
        <v> </v>
      </c>
      <c r="K612" s="475"/>
      <c r="L612" s="379"/>
      <c r="M612" s="471" t="n">
        <f aca="false">IF(E612=" ",0,IF(G610="x","8%",IF(G608="x","8%",IF(G606="x","8%",IF(E612="7%","7%",0)))))</f>
        <v>0</v>
      </c>
      <c r="N612" s="472" t="n">
        <v>0.07</v>
      </c>
      <c r="O612" s="473" t="str">
        <f aca="false">IF(E612&lt;&gt;" ",IF(K579&gt;45,P612,N612)," ")</f>
        <v> </v>
      </c>
      <c r="P612" s="472" t="n">
        <v>0.08</v>
      </c>
    </row>
    <row r="613" customFormat="false" ht="5.1" hidden="false" customHeight="true" outlineLevel="0" collapsed="false">
      <c r="A613" s="167"/>
      <c r="B613" s="295"/>
      <c r="C613" s="142"/>
      <c r="D613" s="142"/>
      <c r="E613" s="105"/>
      <c r="F613" s="205"/>
      <c r="G613" s="142"/>
      <c r="H613" s="142"/>
      <c r="I613" s="142"/>
      <c r="J613" s="156"/>
      <c r="K613" s="142"/>
      <c r="L613" s="379"/>
      <c r="M613" s="474"/>
    </row>
    <row r="614" customFormat="false" ht="13.2" hidden="false" customHeight="true" outlineLevel="0" collapsed="false">
      <c r="A614" s="167"/>
      <c r="B614" s="295" t="s">
        <v>327</v>
      </c>
      <c r="C614" s="403" t="str">
        <f aca="false">IF(K577&lt;95,"X","-")</f>
        <v>X</v>
      </c>
      <c r="D614" s="142"/>
      <c r="E614" s="469" t="n">
        <f aca="false">IF($C$49="X"," ",IF(C614="X",N614,IF(C614="-"," ",0)))</f>
        <v>0.07</v>
      </c>
      <c r="F614" s="205" t="s">
        <v>328</v>
      </c>
      <c r="G614" s="403" t="str">
        <f aca="false">IF(K579&lt;=40,"X","-")</f>
        <v>X</v>
      </c>
      <c r="H614" s="142"/>
      <c r="I614" s="142"/>
      <c r="J614" s="469" t="n">
        <f aca="false">O614</f>
        <v>0.07</v>
      </c>
      <c r="K614" s="475"/>
      <c r="L614" s="379"/>
      <c r="M614" s="471" t="n">
        <f aca="false">IF(E614=" ",0,IF(G612="x","8%",IF(G610="x","8%",IF(G608="x","8%",IF(G606="x","8%",IF(E614="7%","7%",0))))))</f>
        <v>0</v>
      </c>
      <c r="N614" s="472" t="n">
        <v>0.07</v>
      </c>
      <c r="O614" s="472" t="n">
        <f aca="false">IF(E614&lt;&gt;" ",IF(K579&gt;40,P614,N614)," ")</f>
        <v>0.07</v>
      </c>
      <c r="P614" s="472" t="n">
        <v>0.08</v>
      </c>
    </row>
    <row r="615" customFormat="false" ht="5.1" hidden="false" customHeight="true" outlineLevel="0" collapsed="false">
      <c r="A615" s="167"/>
      <c r="B615" s="142"/>
      <c r="C615" s="142"/>
      <c r="D615" s="142"/>
      <c r="E615" s="105"/>
      <c r="K615" s="142"/>
      <c r="L615" s="379"/>
      <c r="M615" s="474"/>
    </row>
    <row r="616" customFormat="false" ht="13.2" hidden="false" customHeight="true" outlineLevel="0" collapsed="false">
      <c r="A616" s="167"/>
      <c r="B616" s="295" t="s">
        <v>329</v>
      </c>
      <c r="C616" s="476"/>
      <c r="D616" s="142"/>
      <c r="E616" s="475" t="str">
        <f aca="false">IF(C616="X",N616," ")</f>
        <v> </v>
      </c>
      <c r="J616" s="477" t="str">
        <f aca="false">E616</f>
        <v> </v>
      </c>
      <c r="K616" s="475" t="s">
        <v>330</v>
      </c>
      <c r="L616" s="379"/>
      <c r="M616" s="471" t="n">
        <f aca="false">IF(J616=" ",0,IF(J616="10%",0.1,0))</f>
        <v>0</v>
      </c>
      <c r="N616" s="472" t="n">
        <v>0.1</v>
      </c>
    </row>
    <row r="617" customFormat="false" ht="9" hidden="false" customHeight="true" outlineLevel="0" collapsed="false">
      <c r="A617" s="167"/>
      <c r="B617" s="142"/>
      <c r="C617" s="142"/>
      <c r="D617" s="142"/>
      <c r="E617" s="142"/>
      <c r="F617" s="142"/>
      <c r="G617" s="142"/>
      <c r="H617" s="142"/>
      <c r="I617" s="142"/>
      <c r="J617" s="142"/>
      <c r="K617" s="142"/>
      <c r="L617" s="379"/>
      <c r="M617" s="471" t="n">
        <f aca="false">M606+M608+M610+M612+M614+M616</f>
        <v>0</v>
      </c>
    </row>
    <row r="618" customFormat="false" ht="6" hidden="false" customHeight="true" outlineLevel="0" collapsed="false">
      <c r="A618" s="167"/>
      <c r="B618" s="142"/>
      <c r="C618" s="142"/>
      <c r="D618" s="142"/>
      <c r="E618" s="142"/>
      <c r="F618" s="142"/>
      <c r="G618" s="142"/>
      <c r="H618" s="142"/>
      <c r="I618" s="142"/>
      <c r="J618" s="142"/>
      <c r="K618" s="142"/>
      <c r="L618" s="379"/>
      <c r="M618" s="318"/>
    </row>
    <row r="619" customFormat="false" ht="12.75" hidden="false" customHeight="true" outlineLevel="0" collapsed="false">
      <c r="A619" s="167"/>
      <c r="B619" s="142" t="s">
        <v>331</v>
      </c>
      <c r="C619" s="142"/>
      <c r="D619" s="142"/>
      <c r="E619" s="142"/>
      <c r="F619" s="142"/>
      <c r="G619" s="476"/>
      <c r="H619" s="142"/>
      <c r="I619" s="142"/>
      <c r="J619" s="142"/>
      <c r="K619" s="142"/>
      <c r="L619" s="379"/>
      <c r="M619" s="318"/>
      <c r="N619" s="425" t="n">
        <f aca="false">IF(G619="X",1,0)</f>
        <v>0</v>
      </c>
    </row>
    <row r="620" customFormat="false" ht="6" hidden="false" customHeight="true" outlineLevel="0" collapsed="false">
      <c r="A620" s="167"/>
      <c r="B620" s="142"/>
      <c r="C620" s="142"/>
      <c r="D620" s="142"/>
      <c r="E620" s="142"/>
      <c r="F620" s="142"/>
      <c r="G620" s="295"/>
      <c r="H620" s="142"/>
      <c r="I620" s="142"/>
      <c r="J620" s="142"/>
      <c r="K620" s="142"/>
      <c r="L620" s="379"/>
      <c r="M620" s="318"/>
    </row>
    <row r="621" customFormat="false" ht="13.2" hidden="false" customHeight="true" outlineLevel="0" collapsed="false">
      <c r="A621" s="167"/>
      <c r="B621" s="142" t="s">
        <v>332</v>
      </c>
      <c r="C621" s="142"/>
      <c r="D621" s="142"/>
      <c r="E621" s="142"/>
      <c r="F621" s="142"/>
      <c r="G621" s="476" t="s">
        <v>238</v>
      </c>
      <c r="H621" s="142"/>
      <c r="I621" s="142"/>
      <c r="J621" s="142"/>
      <c r="K621" s="142"/>
      <c r="L621" s="379"/>
      <c r="M621" s="318"/>
      <c r="N621" s="425" t="n">
        <f aca="false">IF(G621="X",1,0)</f>
        <v>0</v>
      </c>
    </row>
    <row r="622" customFormat="false" ht="5.1" hidden="false" customHeight="true" outlineLevel="0" collapsed="false">
      <c r="A622" s="167"/>
      <c r="B622" s="142"/>
      <c r="C622" s="142"/>
      <c r="D622" s="142"/>
      <c r="E622" s="142"/>
      <c r="F622" s="142"/>
      <c r="G622" s="295"/>
      <c r="H622" s="142"/>
      <c r="I622" s="142"/>
      <c r="J622" s="142"/>
      <c r="K622" s="142"/>
      <c r="L622" s="379"/>
      <c r="M622" s="318"/>
    </row>
    <row r="623" customFormat="false" ht="12.75" hidden="false" customHeight="true" outlineLevel="0" collapsed="false">
      <c r="A623" s="167"/>
      <c r="B623" s="142" t="s">
        <v>333</v>
      </c>
      <c r="C623" s="142"/>
      <c r="D623" s="142"/>
      <c r="E623" s="142"/>
      <c r="F623" s="142"/>
      <c r="G623" s="476"/>
      <c r="H623" s="142"/>
      <c r="I623" s="142"/>
      <c r="J623" s="142"/>
      <c r="K623" s="142"/>
      <c r="L623" s="379"/>
      <c r="M623" s="318"/>
      <c r="N623" s="425" t="n">
        <f aca="false">IF(G623="X",1,0)</f>
        <v>0</v>
      </c>
    </row>
    <row r="624" customFormat="false" ht="4.5" hidden="false" customHeight="true" outlineLevel="0" collapsed="false">
      <c r="A624" s="167"/>
      <c r="B624" s="142"/>
      <c r="C624" s="142"/>
      <c r="D624" s="142"/>
      <c r="E624" s="142"/>
      <c r="F624" s="142"/>
      <c r="G624" s="142"/>
      <c r="H624" s="142"/>
      <c r="I624" s="142"/>
      <c r="J624" s="142"/>
      <c r="K624" s="142"/>
      <c r="L624" s="379"/>
      <c r="M624" s="318"/>
    </row>
    <row r="625" customFormat="false" ht="15" hidden="false" customHeight="true" outlineLevel="0" collapsed="false">
      <c r="A625" s="167"/>
      <c r="B625" s="142" t="s">
        <v>334</v>
      </c>
      <c r="C625" s="142"/>
      <c r="D625" s="142"/>
      <c r="E625" s="142"/>
      <c r="F625" s="142"/>
      <c r="G625" s="142"/>
      <c r="H625" s="142"/>
      <c r="I625" s="142"/>
      <c r="J625" s="142"/>
      <c r="K625" s="478" t="n">
        <f aca="false">IF(N625&gt;0,O625-0.01,O625)</f>
        <v>0.07</v>
      </c>
      <c r="L625" s="478"/>
      <c r="M625" s="318"/>
      <c r="N625" s="425" t="n">
        <f aca="false">N619+N621+N623</f>
        <v>0</v>
      </c>
      <c r="O625" s="473" t="n">
        <f aca="false">IF(J616&lt;&gt;" ",J616,P602)</f>
        <v>0.07</v>
      </c>
    </row>
    <row r="626" customFormat="false" ht="4.5" hidden="false" customHeight="true" outlineLevel="0" collapsed="false">
      <c r="A626" s="167"/>
      <c r="B626" s="142"/>
      <c r="C626" s="142"/>
      <c r="D626" s="142"/>
      <c r="E626" s="142"/>
      <c r="F626" s="142"/>
      <c r="G626" s="142"/>
      <c r="H626" s="142"/>
      <c r="I626" s="142"/>
      <c r="J626" s="142"/>
      <c r="K626" s="142"/>
      <c r="L626" s="379"/>
      <c r="M626" s="318"/>
    </row>
    <row r="627" customFormat="false" ht="4.5" hidden="false" customHeight="true" outlineLevel="0" collapsed="false">
      <c r="A627" s="167"/>
      <c r="B627" s="142"/>
      <c r="C627" s="142"/>
      <c r="D627" s="142"/>
      <c r="E627" s="142"/>
      <c r="F627" s="142"/>
      <c r="G627" s="142"/>
      <c r="H627" s="142"/>
      <c r="I627" s="142"/>
      <c r="J627" s="142"/>
      <c r="K627" s="142"/>
      <c r="L627" s="379"/>
      <c r="M627" s="318"/>
    </row>
    <row r="628" customFormat="false" ht="12.75" hidden="false" customHeight="true" outlineLevel="0" collapsed="false">
      <c r="A628" s="467" t="s">
        <v>335</v>
      </c>
      <c r="B628" s="467"/>
      <c r="C628" s="467"/>
      <c r="D628" s="467"/>
      <c r="E628" s="467"/>
      <c r="F628" s="467"/>
      <c r="G628" s="467"/>
      <c r="H628" s="467"/>
      <c r="I628" s="467"/>
      <c r="J628" s="467"/>
      <c r="K628" s="467"/>
      <c r="L628" s="467"/>
      <c r="M628" s="318"/>
    </row>
    <row r="629" customFormat="false" ht="6" hidden="false" customHeight="true" outlineLevel="0" collapsed="false">
      <c r="A629" s="167"/>
      <c r="B629" s="142"/>
      <c r="C629" s="142"/>
      <c r="D629" s="142"/>
      <c r="E629" s="142"/>
      <c r="F629" s="142"/>
      <c r="G629" s="142"/>
      <c r="H629" s="142"/>
      <c r="I629" s="142"/>
      <c r="J629" s="142"/>
      <c r="K629" s="142"/>
      <c r="L629" s="379"/>
      <c r="M629" s="318"/>
    </row>
    <row r="630" customFormat="false" ht="18" hidden="false" customHeight="true" outlineLevel="0" collapsed="false">
      <c r="A630" s="167"/>
      <c r="B630" s="142" t="s">
        <v>336</v>
      </c>
      <c r="C630" s="142"/>
      <c r="D630" s="142"/>
      <c r="E630" s="142"/>
      <c r="F630" s="142"/>
      <c r="G630" s="142"/>
      <c r="H630" s="142" t="s">
        <v>169</v>
      </c>
      <c r="I630" s="479" t="n">
        <f aca="false">K596</f>
        <v>0</v>
      </c>
      <c r="J630" s="479"/>
      <c r="K630" s="479"/>
      <c r="L630" s="479"/>
      <c r="M630" s="318"/>
    </row>
    <row r="631" customFormat="false" ht="5.1" hidden="false" customHeight="true" outlineLevel="0" collapsed="false">
      <c r="A631" s="167"/>
      <c r="B631" s="142"/>
      <c r="C631" s="142"/>
      <c r="D631" s="142"/>
      <c r="E631" s="142"/>
      <c r="F631" s="142"/>
      <c r="G631" s="142"/>
      <c r="H631" s="142"/>
      <c r="I631" s="142"/>
      <c r="J631" s="142"/>
      <c r="K631" s="142"/>
      <c r="L631" s="379"/>
      <c r="M631" s="318"/>
    </row>
    <row r="632" customFormat="false" ht="18" hidden="false" customHeight="true" outlineLevel="0" collapsed="false">
      <c r="A632" s="167"/>
      <c r="B632" s="142" t="s">
        <v>337</v>
      </c>
      <c r="C632" s="142"/>
      <c r="D632" s="142"/>
      <c r="E632" s="142"/>
      <c r="F632" s="142"/>
      <c r="G632" s="142"/>
      <c r="H632" s="142" t="s">
        <v>338</v>
      </c>
      <c r="I632" s="480" t="n">
        <f aca="false">K625</f>
        <v>0.07</v>
      </c>
      <c r="J632" s="480"/>
      <c r="K632" s="480"/>
      <c r="L632" s="480"/>
      <c r="M632" s="318"/>
    </row>
    <row r="633" customFormat="false" ht="5.1" hidden="false" customHeight="true" outlineLevel="0" collapsed="false">
      <c r="A633" s="167"/>
      <c r="B633" s="142"/>
      <c r="C633" s="142"/>
      <c r="D633" s="142"/>
      <c r="E633" s="142"/>
      <c r="F633" s="142"/>
      <c r="G633" s="142"/>
      <c r="H633" s="142"/>
      <c r="I633" s="142"/>
      <c r="J633" s="142"/>
      <c r="K633" s="142"/>
      <c r="L633" s="379"/>
      <c r="M633" s="318"/>
    </row>
    <row r="634" customFormat="false" ht="18" hidden="false" customHeight="true" outlineLevel="0" collapsed="false">
      <c r="A634" s="481"/>
      <c r="B634" s="197" t="s">
        <v>339</v>
      </c>
      <c r="C634" s="197"/>
      <c r="D634" s="197"/>
      <c r="E634" s="197"/>
      <c r="F634" s="197"/>
      <c r="G634" s="197"/>
      <c r="H634" s="197" t="s">
        <v>169</v>
      </c>
      <c r="I634" s="482" t="n">
        <f aca="false">I630*I632</f>
        <v>0</v>
      </c>
      <c r="J634" s="482"/>
      <c r="K634" s="482"/>
      <c r="L634" s="482"/>
      <c r="M634" s="318"/>
    </row>
    <row r="635" s="112" customFormat="true" ht="28.35" hidden="false" customHeight="true" outlineLevel="0" collapsed="false">
      <c r="A635" s="483"/>
      <c r="B635" s="484"/>
      <c r="C635" s="484"/>
      <c r="D635" s="484"/>
      <c r="E635" s="484"/>
      <c r="F635" s="484"/>
      <c r="G635" s="484"/>
      <c r="H635" s="484"/>
      <c r="I635" s="484"/>
      <c r="J635" s="484"/>
      <c r="K635" s="484"/>
      <c r="L635" s="485"/>
      <c r="M635" s="430"/>
      <c r="N635" s="118"/>
      <c r="O635" s="118"/>
      <c r="P635" s="118"/>
      <c r="Q635" s="118"/>
      <c r="R635" s="118"/>
    </row>
  </sheetData>
  <sheetProtection sheet="true" objects="true" scenarios="true"/>
  <mergeCells count="125">
    <mergeCell ref="A1:L1"/>
    <mergeCell ref="A2:L2"/>
    <mergeCell ref="A3:L3"/>
    <mergeCell ref="A4:L4"/>
    <mergeCell ref="A5:L5"/>
    <mergeCell ref="B6:E6"/>
    <mergeCell ref="G6:H6"/>
    <mergeCell ref="A8:L8"/>
    <mergeCell ref="B16:D17"/>
    <mergeCell ref="A32:L32"/>
    <mergeCell ref="D34:E34"/>
    <mergeCell ref="I34:K35"/>
    <mergeCell ref="K58:L58"/>
    <mergeCell ref="A61:L61"/>
    <mergeCell ref="I63:L63"/>
    <mergeCell ref="I65:L65"/>
    <mergeCell ref="I67:L67"/>
    <mergeCell ref="B69:E69"/>
    <mergeCell ref="G69:H69"/>
    <mergeCell ref="A71:L71"/>
    <mergeCell ref="B79:D80"/>
    <mergeCell ref="A95:L95"/>
    <mergeCell ref="D97:E97"/>
    <mergeCell ref="I97:K98"/>
    <mergeCell ref="K121:L121"/>
    <mergeCell ref="A124:L124"/>
    <mergeCell ref="I126:L126"/>
    <mergeCell ref="I128:L128"/>
    <mergeCell ref="I130:L130"/>
    <mergeCell ref="B132:E132"/>
    <mergeCell ref="G132:H132"/>
    <mergeCell ref="A134:L134"/>
    <mergeCell ref="B142:D143"/>
    <mergeCell ref="A158:L158"/>
    <mergeCell ref="D160:E160"/>
    <mergeCell ref="I160:K161"/>
    <mergeCell ref="K184:L184"/>
    <mergeCell ref="A187:L187"/>
    <mergeCell ref="I189:L189"/>
    <mergeCell ref="I191:L191"/>
    <mergeCell ref="I193:L193"/>
    <mergeCell ref="B195:E195"/>
    <mergeCell ref="G195:H195"/>
    <mergeCell ref="A197:L197"/>
    <mergeCell ref="B205:D206"/>
    <mergeCell ref="A221:L221"/>
    <mergeCell ref="D223:E223"/>
    <mergeCell ref="I223:K224"/>
    <mergeCell ref="K247:L247"/>
    <mergeCell ref="A250:L250"/>
    <mergeCell ref="I252:L252"/>
    <mergeCell ref="I254:L254"/>
    <mergeCell ref="I256:L256"/>
    <mergeCell ref="B258:E258"/>
    <mergeCell ref="G258:H258"/>
    <mergeCell ref="A260:L260"/>
    <mergeCell ref="B268:D269"/>
    <mergeCell ref="A284:L284"/>
    <mergeCell ref="D286:E286"/>
    <mergeCell ref="I286:K287"/>
    <mergeCell ref="K310:L310"/>
    <mergeCell ref="A313:L313"/>
    <mergeCell ref="I315:L315"/>
    <mergeCell ref="I317:L317"/>
    <mergeCell ref="I319:L319"/>
    <mergeCell ref="B321:E321"/>
    <mergeCell ref="G321:H321"/>
    <mergeCell ref="A323:L323"/>
    <mergeCell ref="B331:D332"/>
    <mergeCell ref="A347:L347"/>
    <mergeCell ref="D349:E349"/>
    <mergeCell ref="I349:K350"/>
    <mergeCell ref="K373:L373"/>
    <mergeCell ref="A376:L376"/>
    <mergeCell ref="I378:L378"/>
    <mergeCell ref="I380:L380"/>
    <mergeCell ref="I382:L382"/>
    <mergeCell ref="B384:E384"/>
    <mergeCell ref="G384:H384"/>
    <mergeCell ref="A386:L386"/>
    <mergeCell ref="B394:D395"/>
    <mergeCell ref="A410:L410"/>
    <mergeCell ref="D412:E412"/>
    <mergeCell ref="I412:K413"/>
    <mergeCell ref="K436:L436"/>
    <mergeCell ref="A439:L439"/>
    <mergeCell ref="I441:L441"/>
    <mergeCell ref="I443:L443"/>
    <mergeCell ref="I445:L445"/>
    <mergeCell ref="B447:E447"/>
    <mergeCell ref="G447:H447"/>
    <mergeCell ref="A449:L449"/>
    <mergeCell ref="B457:D458"/>
    <mergeCell ref="A473:L473"/>
    <mergeCell ref="D475:E475"/>
    <mergeCell ref="I475:K476"/>
    <mergeCell ref="K499:L499"/>
    <mergeCell ref="A502:L502"/>
    <mergeCell ref="I504:L504"/>
    <mergeCell ref="I506:L506"/>
    <mergeCell ref="I508:L508"/>
    <mergeCell ref="B510:E510"/>
    <mergeCell ref="G510:H510"/>
    <mergeCell ref="A512:L512"/>
    <mergeCell ref="B520:D521"/>
    <mergeCell ref="A536:L536"/>
    <mergeCell ref="D538:E538"/>
    <mergeCell ref="I538:K539"/>
    <mergeCell ref="K562:L562"/>
    <mergeCell ref="A565:L565"/>
    <mergeCell ref="I567:L567"/>
    <mergeCell ref="I569:L569"/>
    <mergeCell ref="I571:L571"/>
    <mergeCell ref="B573:E573"/>
    <mergeCell ref="G573:H573"/>
    <mergeCell ref="A575:L575"/>
    <mergeCell ref="B583:D584"/>
    <mergeCell ref="A599:L599"/>
    <mergeCell ref="D601:E601"/>
    <mergeCell ref="I601:K602"/>
    <mergeCell ref="K625:L625"/>
    <mergeCell ref="A628:L628"/>
    <mergeCell ref="I630:L630"/>
    <mergeCell ref="I632:L632"/>
    <mergeCell ref="I634:L634"/>
  </mergeCells>
  <printOptions headings="false" gridLines="false" gridLinesSet="true" horizontalCentered="true" verticalCentered="true"/>
  <pageMargins left="0.747916666666667" right="0.747916666666667" top="0.984027777777778" bottom="0.827083333333333"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P54"/>
  <sheetViews>
    <sheetView showFormulas="false" showGridLines="false" showRowColHeaders="true" showZeros="true" rightToLeft="false" tabSelected="false" showOutlineSymbols="true" defaultGridColor="true" view="normal" topLeftCell="A4" colorId="64" zoomScale="150" zoomScaleNormal="150" zoomScalePageLayoutView="100" workbookViewId="0">
      <selection pane="topLeft" activeCell="K34" activeCellId="0" sqref="K34"/>
    </sheetView>
  </sheetViews>
  <sheetFormatPr defaultColWidth="8.5078125" defaultRowHeight="13.2" zeroHeight="false" outlineLevelRow="0" outlineLevelCol="0"/>
  <cols>
    <col collapsed="false" customWidth="true" hidden="false" outlineLevel="0" max="1" min="1" style="424" width="4.62"/>
    <col collapsed="false" customWidth="true" hidden="false" outlineLevel="0" max="2" min="2" style="205" width="19.29"/>
    <col collapsed="false" customWidth="true" hidden="false" outlineLevel="0" max="3" min="3" style="87" width="2.29"/>
    <col collapsed="false" customWidth="true" hidden="false" outlineLevel="0" max="4" min="4" style="87" width="4.29"/>
    <col collapsed="false" customWidth="true" hidden="false" outlineLevel="0" max="5" min="5" style="87" width="3.51"/>
    <col collapsed="false" customWidth="true" hidden="false" outlineLevel="0" max="6" min="6" style="87" width="14.29"/>
    <col collapsed="false" customWidth="true" hidden="false" outlineLevel="0" max="7" min="7" style="87" width="2.51"/>
    <col collapsed="false" customWidth="true" hidden="false" outlineLevel="0" max="8" min="8" style="87" width="4.29"/>
    <col collapsed="false" customWidth="true" hidden="false" outlineLevel="0" max="9" min="9" style="87" width="2.29"/>
    <col collapsed="false" customWidth="true" hidden="false" outlineLevel="0" max="10" min="10" style="87" width="4.29"/>
    <col collapsed="false" customWidth="true" hidden="false" outlineLevel="0" max="11" min="11" style="87" width="3.51"/>
    <col collapsed="false" customWidth="true" hidden="false" outlineLevel="0" max="12" min="12" style="87" width="9.73"/>
    <col collapsed="false" customWidth="true" hidden="false" outlineLevel="0" max="13" min="13" style="87" width="9.52"/>
    <col collapsed="false" customWidth="true" hidden="false" outlineLevel="0" max="14" min="14" style="316" width="11.29"/>
    <col collapsed="false" customWidth="false" hidden="false" outlineLevel="0" max="20" min="15" style="87" width="8.49"/>
    <col collapsed="false" customWidth="false" hidden="false" outlineLevel="0" max="35" min="21" style="285" width="8.49"/>
    <col collapsed="false" customWidth="false" hidden="false" outlineLevel="0" max="257" min="36" style="1" width="8.49"/>
  </cols>
  <sheetData>
    <row r="1" customFormat="false" ht="13.8" hidden="false" customHeight="true" outlineLevel="0" collapsed="false">
      <c r="A1" s="317" t="s">
        <v>159</v>
      </c>
      <c r="B1" s="317"/>
      <c r="C1" s="317"/>
      <c r="D1" s="317"/>
      <c r="E1" s="317"/>
      <c r="F1" s="317"/>
      <c r="G1" s="317"/>
      <c r="H1" s="317"/>
      <c r="I1" s="317"/>
      <c r="J1" s="317"/>
      <c r="K1" s="317"/>
      <c r="L1" s="317"/>
      <c r="M1" s="103"/>
      <c r="N1" s="321"/>
      <c r="O1" s="103"/>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row>
    <row r="2" customFormat="false" ht="17.25" hidden="false" customHeight="true" outlineLevel="0" collapsed="false">
      <c r="A2" s="106" t="s">
        <v>294</v>
      </c>
      <c r="B2" s="106"/>
      <c r="C2" s="106"/>
      <c r="D2" s="106"/>
      <c r="E2" s="106"/>
      <c r="F2" s="106"/>
      <c r="G2" s="106"/>
      <c r="H2" s="106"/>
      <c r="I2" s="106"/>
      <c r="J2" s="106"/>
      <c r="K2" s="106"/>
      <c r="L2" s="106"/>
      <c r="M2" s="103"/>
      <c r="N2" s="321"/>
      <c r="O2" s="103"/>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8"/>
      <c r="DE2" s="88"/>
      <c r="DF2" s="88"/>
      <c r="DG2" s="88"/>
      <c r="DH2" s="88"/>
      <c r="DI2" s="88"/>
      <c r="DJ2" s="88"/>
      <c r="DK2" s="88"/>
      <c r="DL2" s="88"/>
      <c r="DM2" s="88"/>
      <c r="DN2" s="88"/>
      <c r="DO2" s="88"/>
      <c r="DP2" s="88"/>
    </row>
    <row r="3" customFormat="false" ht="6" hidden="false" customHeight="true" outlineLevel="0" collapsed="false">
      <c r="A3" s="205"/>
      <c r="C3" s="101"/>
      <c r="E3" s="102"/>
      <c r="F3" s="102"/>
      <c r="G3" s="102"/>
      <c r="H3" s="102"/>
      <c r="I3" s="102"/>
      <c r="J3" s="102"/>
      <c r="K3" s="102"/>
      <c r="M3" s="103"/>
      <c r="N3" s="321"/>
      <c r="O3" s="103"/>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c r="DJ3" s="88"/>
      <c r="DK3" s="88"/>
      <c r="DL3" s="88"/>
      <c r="DM3" s="88"/>
      <c r="DN3" s="88"/>
      <c r="DO3" s="88"/>
      <c r="DP3" s="88"/>
    </row>
    <row r="4" s="112" customFormat="true" ht="45" hidden="false" customHeight="true" outlineLevel="0" collapsed="false">
      <c r="A4" s="489" t="s">
        <v>342</v>
      </c>
      <c r="B4" s="489"/>
      <c r="C4" s="489"/>
      <c r="D4" s="489"/>
      <c r="E4" s="489"/>
      <c r="F4" s="489"/>
      <c r="G4" s="489"/>
      <c r="H4" s="489"/>
      <c r="I4" s="489"/>
      <c r="J4" s="489"/>
      <c r="K4" s="489"/>
      <c r="L4" s="489"/>
      <c r="M4" s="110"/>
      <c r="N4" s="430"/>
      <c r="O4" s="110"/>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c r="CX4" s="111"/>
      <c r="CY4" s="111"/>
      <c r="CZ4" s="111"/>
      <c r="DA4" s="111"/>
      <c r="DB4" s="111"/>
      <c r="DC4" s="111"/>
      <c r="DD4" s="111"/>
      <c r="DE4" s="111"/>
      <c r="DF4" s="111"/>
      <c r="DG4" s="111"/>
      <c r="DH4" s="111"/>
      <c r="DI4" s="111"/>
      <c r="DJ4" s="111"/>
      <c r="DK4" s="111"/>
      <c r="DL4" s="111"/>
      <c r="DM4" s="111"/>
      <c r="DN4" s="111"/>
      <c r="DO4" s="111"/>
      <c r="DP4" s="111"/>
    </row>
    <row r="5" s="112" customFormat="true" ht="6" hidden="false" customHeight="true" outlineLevel="0" collapsed="false">
      <c r="A5" s="490"/>
      <c r="B5" s="114"/>
      <c r="C5" s="114"/>
      <c r="D5" s="114"/>
      <c r="E5" s="114"/>
      <c r="F5" s="114"/>
      <c r="G5" s="114"/>
      <c r="H5" s="114"/>
      <c r="I5" s="114"/>
      <c r="J5" s="114"/>
      <c r="K5" s="114"/>
      <c r="L5" s="491"/>
      <c r="M5" s="110"/>
      <c r="N5" s="430"/>
      <c r="O5" s="110"/>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c r="CK5" s="111"/>
      <c r="CL5" s="111"/>
      <c r="CM5" s="111"/>
      <c r="CN5" s="111"/>
      <c r="CO5" s="111"/>
      <c r="CP5" s="111"/>
      <c r="CQ5" s="111"/>
      <c r="CR5" s="111"/>
      <c r="CS5" s="111"/>
      <c r="CT5" s="111"/>
      <c r="CU5" s="111"/>
      <c r="CV5" s="111"/>
      <c r="CW5" s="111"/>
      <c r="CX5" s="111"/>
      <c r="CY5" s="111"/>
      <c r="CZ5" s="111"/>
      <c r="DA5" s="111"/>
      <c r="DB5" s="111"/>
      <c r="DC5" s="111"/>
      <c r="DD5" s="111"/>
      <c r="DE5" s="111"/>
      <c r="DF5" s="111"/>
      <c r="DG5" s="111"/>
      <c r="DH5" s="111"/>
      <c r="DI5" s="111"/>
      <c r="DJ5" s="111"/>
      <c r="DK5" s="111"/>
      <c r="DL5" s="111"/>
      <c r="DM5" s="111"/>
      <c r="DN5" s="111"/>
      <c r="DO5" s="111"/>
      <c r="DP5" s="111"/>
    </row>
    <row r="6" s="112" customFormat="true" ht="18" hidden="false" customHeight="true" outlineLevel="0" collapsed="false">
      <c r="A6" s="107" t="s">
        <v>161</v>
      </c>
      <c r="B6" s="248"/>
      <c r="C6" s="248"/>
      <c r="D6" s="248"/>
      <c r="E6" s="248"/>
      <c r="F6" s="248"/>
      <c r="G6" s="208" t="s">
        <v>162</v>
      </c>
      <c r="H6" s="208"/>
      <c r="I6" s="208"/>
      <c r="J6" s="208"/>
      <c r="K6" s="249"/>
      <c r="L6" s="249"/>
      <c r="M6" s="110"/>
      <c r="N6" s="327"/>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c r="CK6" s="111"/>
      <c r="CL6" s="111"/>
      <c r="CM6" s="111"/>
      <c r="CN6" s="111"/>
      <c r="CO6" s="111"/>
      <c r="CP6" s="111"/>
      <c r="CQ6" s="111"/>
      <c r="CR6" s="111"/>
      <c r="CS6" s="111"/>
      <c r="CT6" s="111"/>
      <c r="CU6" s="111"/>
      <c r="CV6" s="111"/>
      <c r="CW6" s="111"/>
      <c r="CX6" s="111"/>
      <c r="CY6" s="111"/>
      <c r="CZ6" s="111"/>
      <c r="DA6" s="111"/>
      <c r="DB6" s="111"/>
      <c r="DC6" s="111"/>
      <c r="DD6" s="111"/>
      <c r="DE6" s="111"/>
      <c r="DF6" s="111"/>
      <c r="DG6" s="111"/>
      <c r="DH6" s="111"/>
      <c r="DI6" s="111"/>
      <c r="DJ6" s="111"/>
      <c r="DK6" s="111"/>
      <c r="DL6" s="111"/>
      <c r="DM6" s="111"/>
      <c r="DN6" s="111"/>
    </row>
    <row r="7" s="112" customFormat="true" ht="9.75" hidden="false" customHeight="true" outlineLevel="0" collapsed="false">
      <c r="A7" s="490"/>
      <c r="B7" s="492"/>
      <c r="C7" s="107"/>
      <c r="D7" s="107"/>
      <c r="E7" s="122"/>
      <c r="F7" s="107"/>
      <c r="G7" s="493"/>
      <c r="H7" s="107"/>
      <c r="I7" s="122"/>
      <c r="J7" s="493"/>
      <c r="K7" s="114"/>
      <c r="L7" s="114"/>
      <c r="M7" s="110"/>
      <c r="N7" s="430"/>
      <c r="O7" s="110"/>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c r="CG7" s="111"/>
      <c r="CH7" s="111"/>
      <c r="CI7" s="111"/>
      <c r="CJ7" s="111"/>
      <c r="CK7" s="111"/>
      <c r="CL7" s="111"/>
      <c r="CM7" s="111"/>
      <c r="CN7" s="111"/>
      <c r="CO7" s="111"/>
      <c r="CP7" s="111"/>
      <c r="CQ7" s="111"/>
      <c r="CR7" s="111"/>
      <c r="CS7" s="111"/>
      <c r="CT7" s="111"/>
      <c r="CU7" s="111"/>
      <c r="CV7" s="111"/>
      <c r="CW7" s="111"/>
      <c r="CX7" s="111"/>
      <c r="CY7" s="111"/>
      <c r="CZ7" s="111"/>
      <c r="DA7" s="111"/>
      <c r="DB7" s="111"/>
      <c r="DC7" s="111"/>
      <c r="DD7" s="111"/>
      <c r="DE7" s="111"/>
      <c r="DF7" s="111"/>
      <c r="DG7" s="111"/>
      <c r="DH7" s="111"/>
      <c r="DI7" s="111"/>
      <c r="DJ7" s="111"/>
      <c r="DK7" s="111"/>
      <c r="DL7" s="111"/>
      <c r="DM7" s="111"/>
      <c r="DN7" s="111"/>
      <c r="DO7" s="111"/>
      <c r="DP7" s="111"/>
    </row>
    <row r="8" s="1" customFormat="true" ht="12.75" hidden="false" customHeight="true" outlineLevel="0" collapsed="false">
      <c r="A8" s="467" t="s">
        <v>298</v>
      </c>
      <c r="B8" s="467"/>
      <c r="C8" s="467"/>
      <c r="D8" s="467"/>
      <c r="E8" s="467"/>
      <c r="F8" s="467"/>
      <c r="G8" s="467"/>
      <c r="H8" s="467"/>
      <c r="I8" s="467"/>
      <c r="J8" s="467"/>
      <c r="K8" s="467"/>
      <c r="L8" s="467"/>
      <c r="M8" s="88"/>
      <c r="N8" s="318"/>
      <c r="O8" s="88"/>
      <c r="P8" s="88"/>
      <c r="Q8" s="88"/>
      <c r="R8" s="88"/>
      <c r="S8" s="88"/>
      <c r="T8" s="88"/>
    </row>
    <row r="9" customFormat="false" ht="9" hidden="false" customHeight="true" outlineLevel="0" collapsed="false">
      <c r="A9" s="205"/>
    </row>
    <row r="10" s="1" customFormat="true" ht="12.75" hidden="false" customHeight="true" outlineLevel="0" collapsed="false">
      <c r="A10" s="205" t="s">
        <v>307</v>
      </c>
      <c r="B10" s="87" t="s">
        <v>343</v>
      </c>
      <c r="C10" s="87"/>
      <c r="D10" s="87"/>
      <c r="E10" s="87"/>
      <c r="F10" s="87"/>
      <c r="G10" s="87"/>
      <c r="H10" s="87"/>
      <c r="I10" s="87"/>
      <c r="J10" s="205" t="s">
        <v>205</v>
      </c>
      <c r="K10" s="454"/>
      <c r="L10" s="454"/>
      <c r="M10" s="88"/>
      <c r="N10" s="318"/>
      <c r="O10" s="88"/>
      <c r="P10" s="88"/>
      <c r="T10" s="88"/>
    </row>
    <row r="11" s="1" customFormat="true" ht="12.75" hidden="false" customHeight="true" outlineLevel="0" collapsed="false">
      <c r="A11" s="205"/>
      <c r="B11" s="87"/>
      <c r="C11" s="87"/>
      <c r="D11" s="87"/>
      <c r="E11" s="87"/>
      <c r="F11" s="87"/>
      <c r="G11" s="87"/>
      <c r="H11" s="87"/>
      <c r="I11" s="87"/>
      <c r="J11" s="205"/>
      <c r="K11" s="494"/>
      <c r="L11" s="494"/>
      <c r="M11" s="88"/>
      <c r="N11" s="318"/>
      <c r="O11" s="88"/>
      <c r="P11" s="88"/>
      <c r="Q11" s="88"/>
      <c r="R11" s="88"/>
      <c r="S11" s="88"/>
      <c r="T11" s="88"/>
    </row>
    <row r="12" s="1" customFormat="true" ht="13.2" hidden="false" customHeight="true" outlineLevel="0" collapsed="false">
      <c r="A12" s="205" t="s">
        <v>309</v>
      </c>
      <c r="B12" s="87" t="s">
        <v>344</v>
      </c>
      <c r="C12" s="87"/>
      <c r="D12" s="87"/>
      <c r="E12" s="87"/>
      <c r="F12" s="87"/>
      <c r="G12" s="87"/>
      <c r="H12" s="87"/>
      <c r="I12" s="87"/>
      <c r="J12" s="205" t="s">
        <v>206</v>
      </c>
      <c r="K12" s="495" t="n">
        <v>938.19</v>
      </c>
      <c r="L12" s="495"/>
      <c r="M12" s="88"/>
      <c r="N12" s="318"/>
      <c r="O12" s="88"/>
      <c r="P12" s="88"/>
      <c r="Q12" s="88"/>
      <c r="R12" s="88"/>
      <c r="S12" s="88"/>
      <c r="T12" s="88"/>
    </row>
    <row r="13" s="1" customFormat="true" ht="9" hidden="false" customHeight="true" outlineLevel="0" collapsed="false">
      <c r="A13" s="205"/>
      <c r="B13" s="496"/>
      <c r="C13" s="87"/>
      <c r="D13" s="87"/>
      <c r="E13" s="87"/>
      <c r="F13" s="87"/>
      <c r="G13" s="87"/>
      <c r="H13" s="87"/>
      <c r="I13" s="87"/>
      <c r="J13" s="87"/>
      <c r="K13" s="316"/>
      <c r="L13" s="316"/>
      <c r="M13" s="88"/>
      <c r="N13" s="318"/>
      <c r="O13" s="88"/>
      <c r="P13" s="88"/>
      <c r="Q13" s="88"/>
      <c r="R13" s="88"/>
      <c r="S13" s="88"/>
      <c r="T13" s="88"/>
    </row>
    <row r="14" s="1" customFormat="true" ht="12.75" hidden="false" customHeight="true" outlineLevel="0" collapsed="false">
      <c r="A14" s="205" t="s">
        <v>312</v>
      </c>
      <c r="B14" s="497" t="s">
        <v>313</v>
      </c>
      <c r="C14" s="197"/>
      <c r="D14" s="197"/>
      <c r="E14" s="197"/>
      <c r="F14" s="197"/>
      <c r="G14" s="197"/>
      <c r="H14" s="197"/>
      <c r="I14" s="197"/>
      <c r="J14" s="498" t="s">
        <v>169</v>
      </c>
      <c r="K14" s="499" t="n">
        <f aca="false">K10*K12</f>
        <v>0</v>
      </c>
      <c r="L14" s="499"/>
      <c r="M14" s="88"/>
      <c r="N14" s="318"/>
      <c r="O14" s="88"/>
      <c r="P14" s="88"/>
      <c r="Q14" s="88"/>
      <c r="R14" s="88"/>
      <c r="S14" s="88"/>
      <c r="T14" s="88"/>
    </row>
    <row r="15" s="1" customFormat="true" ht="12.75" hidden="false" customHeight="true" outlineLevel="0" collapsed="false">
      <c r="A15" s="205"/>
      <c r="B15" s="297"/>
      <c r="C15" s="142"/>
      <c r="D15" s="142"/>
      <c r="E15" s="142"/>
      <c r="F15" s="142"/>
      <c r="G15" s="142"/>
      <c r="H15" s="142"/>
      <c r="I15" s="142"/>
      <c r="J15" s="295"/>
      <c r="K15" s="494"/>
      <c r="L15" s="494"/>
      <c r="M15" s="88"/>
      <c r="N15" s="318"/>
      <c r="O15" s="88"/>
      <c r="P15" s="88"/>
      <c r="Q15" s="88"/>
      <c r="R15" s="88"/>
      <c r="S15" s="88"/>
      <c r="T15" s="88"/>
    </row>
    <row r="16" s="1" customFormat="true" ht="12.75" hidden="false" customHeight="true" outlineLevel="0" collapsed="false">
      <c r="A16" s="205" t="s">
        <v>345</v>
      </c>
      <c r="B16" s="87" t="s">
        <v>346</v>
      </c>
      <c r="C16" s="87"/>
      <c r="D16" s="87"/>
      <c r="E16" s="87"/>
      <c r="F16" s="87"/>
      <c r="G16" s="87"/>
      <c r="H16" s="87"/>
      <c r="I16" s="87"/>
      <c r="J16" s="205"/>
      <c r="K16" s="500" t="n">
        <v>0.05</v>
      </c>
      <c r="L16" s="500"/>
      <c r="M16" s="88"/>
      <c r="N16" s="318"/>
      <c r="O16" s="88"/>
      <c r="P16" s="88"/>
      <c r="Q16" s="88"/>
      <c r="R16" s="88"/>
      <c r="S16" s="88"/>
      <c r="T16" s="88"/>
    </row>
    <row r="17" s="1" customFormat="true" ht="12.75" hidden="false" customHeight="true" outlineLevel="0" collapsed="false">
      <c r="A17" s="205"/>
      <c r="B17" s="297"/>
      <c r="C17" s="142"/>
      <c r="D17" s="142"/>
      <c r="E17" s="142"/>
      <c r="F17" s="142"/>
      <c r="G17" s="142"/>
      <c r="H17" s="142"/>
      <c r="I17" s="142"/>
      <c r="J17" s="295"/>
      <c r="K17" s="494"/>
      <c r="L17" s="494"/>
      <c r="M17" s="88"/>
      <c r="N17" s="318"/>
      <c r="O17" s="88"/>
      <c r="P17" s="88"/>
      <c r="Q17" s="88"/>
      <c r="R17" s="88"/>
      <c r="S17" s="88"/>
      <c r="T17" s="88"/>
    </row>
    <row r="18" s="1" customFormat="true" ht="12.75" hidden="false" customHeight="true" outlineLevel="0" collapsed="false">
      <c r="A18" s="205" t="s">
        <v>347</v>
      </c>
      <c r="B18" s="497" t="s">
        <v>348</v>
      </c>
      <c r="C18" s="197"/>
      <c r="D18" s="197"/>
      <c r="E18" s="197"/>
      <c r="F18" s="197"/>
      <c r="G18" s="197"/>
      <c r="H18" s="197"/>
      <c r="I18" s="197"/>
      <c r="J18" s="498" t="s">
        <v>169</v>
      </c>
      <c r="K18" s="499" t="n">
        <f aca="false">K14*K16</f>
        <v>0</v>
      </c>
      <c r="L18" s="499"/>
      <c r="M18" s="88"/>
      <c r="N18" s="318"/>
      <c r="P18" s="88"/>
      <c r="Q18" s="88"/>
      <c r="R18" s="88"/>
      <c r="S18" s="88"/>
      <c r="T18" s="88"/>
    </row>
    <row r="19" s="1" customFormat="true" ht="12.75" hidden="false" customHeight="true" outlineLevel="0" collapsed="false">
      <c r="A19" s="205"/>
      <c r="B19" s="297"/>
      <c r="C19" s="142"/>
      <c r="D19" s="142"/>
      <c r="E19" s="142"/>
      <c r="F19" s="142"/>
      <c r="G19" s="142"/>
      <c r="H19" s="142"/>
      <c r="I19" s="142"/>
      <c r="J19" s="295"/>
      <c r="K19" s="142"/>
      <c r="L19" s="142"/>
      <c r="M19" s="88"/>
      <c r="N19" s="318"/>
      <c r="O19" s="88"/>
      <c r="P19" s="88"/>
      <c r="Q19" s="88"/>
      <c r="R19" s="88"/>
      <c r="S19" s="88"/>
      <c r="T19" s="88"/>
    </row>
    <row r="20" s="112" customFormat="true" ht="45" hidden="false" customHeight="true" outlineLevel="0" collapsed="false">
      <c r="A20" s="489" t="s">
        <v>349</v>
      </c>
      <c r="B20" s="489"/>
      <c r="C20" s="489"/>
      <c r="D20" s="489"/>
      <c r="E20" s="489"/>
      <c r="F20" s="489"/>
      <c r="G20" s="489"/>
      <c r="H20" s="489"/>
      <c r="I20" s="489"/>
      <c r="J20" s="489"/>
      <c r="K20" s="489"/>
      <c r="L20" s="489"/>
      <c r="M20" s="110"/>
      <c r="N20" s="430"/>
      <c r="O20" s="110"/>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c r="BK20" s="111"/>
      <c r="BL20" s="111"/>
      <c r="BM20" s="111"/>
      <c r="BN20" s="111"/>
      <c r="BO20" s="111"/>
      <c r="BP20" s="111"/>
      <c r="BQ20" s="111"/>
      <c r="BR20" s="111"/>
      <c r="BS20" s="111"/>
      <c r="BT20" s="111"/>
      <c r="BU20" s="111"/>
      <c r="BV20" s="111"/>
      <c r="BW20" s="111"/>
      <c r="BX20" s="111"/>
      <c r="BY20" s="111"/>
      <c r="BZ20" s="111"/>
      <c r="CA20" s="111"/>
      <c r="CB20" s="111"/>
      <c r="CC20" s="111"/>
      <c r="CD20" s="111"/>
      <c r="CE20" s="111"/>
      <c r="CF20" s="111"/>
      <c r="CG20" s="111"/>
      <c r="CH20" s="111"/>
      <c r="CI20" s="111"/>
      <c r="CJ20" s="111"/>
      <c r="CK20" s="111"/>
      <c r="CL20" s="111"/>
      <c r="CM20" s="111"/>
      <c r="CN20" s="111"/>
      <c r="CO20" s="111"/>
      <c r="CP20" s="111"/>
      <c r="CQ20" s="111"/>
      <c r="CR20" s="111"/>
      <c r="CS20" s="111"/>
      <c r="CT20" s="111"/>
      <c r="CU20" s="111"/>
      <c r="CV20" s="111"/>
      <c r="CW20" s="111"/>
      <c r="CX20" s="111"/>
      <c r="CY20" s="111"/>
      <c r="CZ20" s="111"/>
      <c r="DA20" s="111"/>
      <c r="DB20" s="111"/>
      <c r="DC20" s="111"/>
      <c r="DD20" s="111"/>
      <c r="DE20" s="111"/>
      <c r="DF20" s="111"/>
      <c r="DG20" s="111"/>
      <c r="DH20" s="111"/>
      <c r="DI20" s="111"/>
      <c r="DJ20" s="111"/>
      <c r="DK20" s="111"/>
      <c r="DL20" s="111"/>
      <c r="DM20" s="111"/>
      <c r="DN20" s="111"/>
      <c r="DO20" s="111"/>
      <c r="DP20" s="111"/>
    </row>
    <row r="21" s="112" customFormat="true" ht="6" hidden="false" customHeight="true" outlineLevel="0" collapsed="false">
      <c r="A21" s="490"/>
      <c r="B21" s="114"/>
      <c r="C21" s="114"/>
      <c r="D21" s="114"/>
      <c r="E21" s="114"/>
      <c r="F21" s="114"/>
      <c r="G21" s="114"/>
      <c r="H21" s="114"/>
      <c r="I21" s="114"/>
      <c r="J21" s="114"/>
      <c r="K21" s="114"/>
      <c r="L21" s="491"/>
      <c r="M21" s="110"/>
      <c r="N21" s="430"/>
      <c r="O21" s="110"/>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c r="BM21" s="111"/>
      <c r="BN21" s="111"/>
      <c r="BO21" s="111"/>
      <c r="BP21" s="111"/>
      <c r="BQ21" s="111"/>
      <c r="BR21" s="111"/>
      <c r="BS21" s="111"/>
      <c r="BT21" s="111"/>
      <c r="BU21" s="111"/>
      <c r="BV21" s="111"/>
      <c r="BW21" s="111"/>
      <c r="BX21" s="111"/>
      <c r="BY21" s="111"/>
      <c r="BZ21" s="111"/>
      <c r="CA21" s="111"/>
      <c r="CB21" s="111"/>
      <c r="CC21" s="111"/>
      <c r="CD21" s="111"/>
      <c r="CE21" s="111"/>
      <c r="CF21" s="111"/>
      <c r="CG21" s="111"/>
      <c r="CH21" s="111"/>
      <c r="CI21" s="111"/>
      <c r="CJ21" s="111"/>
      <c r="CK21" s="111"/>
      <c r="CL21" s="111"/>
      <c r="CM21" s="111"/>
      <c r="CN21" s="111"/>
      <c r="CO21" s="111"/>
      <c r="CP21" s="111"/>
      <c r="CQ21" s="111"/>
      <c r="CR21" s="111"/>
      <c r="CS21" s="111"/>
      <c r="CT21" s="111"/>
      <c r="CU21" s="111"/>
      <c r="CV21" s="111"/>
      <c r="CW21" s="111"/>
      <c r="CX21" s="111"/>
      <c r="CY21" s="111"/>
      <c r="CZ21" s="111"/>
      <c r="DA21" s="111"/>
      <c r="DB21" s="111"/>
      <c r="DC21" s="111"/>
      <c r="DD21" s="111"/>
      <c r="DE21" s="111"/>
      <c r="DF21" s="111"/>
      <c r="DG21" s="111"/>
      <c r="DH21" s="111"/>
      <c r="DI21" s="111"/>
      <c r="DJ21" s="111"/>
      <c r="DK21" s="111"/>
      <c r="DL21" s="111"/>
      <c r="DM21" s="111"/>
      <c r="DN21" s="111"/>
      <c r="DO21" s="111"/>
      <c r="DP21" s="111"/>
    </row>
    <row r="22" s="112" customFormat="true" ht="18" hidden="false" customHeight="true" outlineLevel="0" collapsed="false">
      <c r="A22" s="107" t="s">
        <v>161</v>
      </c>
      <c r="B22" s="248"/>
      <c r="C22" s="248"/>
      <c r="D22" s="248"/>
      <c r="E22" s="248"/>
      <c r="F22" s="248"/>
      <c r="G22" s="208" t="s">
        <v>162</v>
      </c>
      <c r="H22" s="208"/>
      <c r="I22" s="208"/>
      <c r="J22" s="208"/>
      <c r="K22" s="249"/>
      <c r="L22" s="249"/>
      <c r="M22" s="110"/>
      <c r="N22" s="327"/>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c r="BK22" s="111"/>
      <c r="BL22" s="111"/>
      <c r="BM22" s="111"/>
      <c r="BN22" s="111"/>
      <c r="BO22" s="111"/>
      <c r="BP22" s="111"/>
      <c r="BQ22" s="111"/>
      <c r="BR22" s="111"/>
      <c r="BS22" s="111"/>
      <c r="BT22" s="111"/>
      <c r="BU22" s="111"/>
      <c r="BV22" s="111"/>
      <c r="BW22" s="111"/>
      <c r="BX22" s="111"/>
      <c r="BY22" s="111"/>
      <c r="BZ22" s="111"/>
      <c r="CA22" s="111"/>
      <c r="CB22" s="111"/>
      <c r="CC22" s="111"/>
      <c r="CD22" s="111"/>
      <c r="CE22" s="111"/>
      <c r="CF22" s="111"/>
      <c r="CG22" s="111"/>
      <c r="CH22" s="111"/>
      <c r="CI22" s="111"/>
      <c r="CJ22" s="111"/>
      <c r="CK22" s="111"/>
      <c r="CL22" s="111"/>
      <c r="CM22" s="111"/>
      <c r="CN22" s="111"/>
      <c r="CO22" s="111"/>
      <c r="CP22" s="111"/>
      <c r="CQ22" s="111"/>
      <c r="CR22" s="111"/>
      <c r="CS22" s="111"/>
      <c r="CT22" s="111"/>
      <c r="CU22" s="111"/>
      <c r="CV22" s="111"/>
      <c r="CW22" s="111"/>
      <c r="CX22" s="111"/>
      <c r="CY22" s="111"/>
      <c r="CZ22" s="111"/>
      <c r="DA22" s="111"/>
      <c r="DB22" s="111"/>
      <c r="DC22" s="111"/>
      <c r="DD22" s="111"/>
      <c r="DE22" s="111"/>
      <c r="DF22" s="111"/>
      <c r="DG22" s="111"/>
      <c r="DH22" s="111"/>
      <c r="DI22" s="111"/>
      <c r="DJ22" s="111"/>
      <c r="DK22" s="111"/>
      <c r="DL22" s="111"/>
      <c r="DM22" s="111"/>
      <c r="DN22" s="111"/>
    </row>
    <row r="23" s="112" customFormat="true" ht="9.75" hidden="false" customHeight="true" outlineLevel="0" collapsed="false">
      <c r="A23" s="490"/>
      <c r="B23" s="492"/>
      <c r="C23" s="107"/>
      <c r="D23" s="107"/>
      <c r="E23" s="122"/>
      <c r="F23" s="107"/>
      <c r="G23" s="493"/>
      <c r="H23" s="107"/>
      <c r="I23" s="122"/>
      <c r="J23" s="493"/>
      <c r="K23" s="114"/>
      <c r="L23" s="114"/>
      <c r="M23" s="110"/>
      <c r="N23" s="430"/>
      <c r="O23" s="110"/>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111"/>
      <c r="BJ23" s="111"/>
      <c r="BK23" s="111"/>
      <c r="BL23" s="111"/>
      <c r="BM23" s="111"/>
      <c r="BN23" s="111"/>
      <c r="BO23" s="111"/>
      <c r="BP23" s="111"/>
      <c r="BQ23" s="111"/>
      <c r="BR23" s="111"/>
      <c r="BS23" s="111"/>
      <c r="BT23" s="111"/>
      <c r="BU23" s="111"/>
      <c r="BV23" s="111"/>
      <c r="BW23" s="111"/>
      <c r="BX23" s="111"/>
      <c r="BY23" s="111"/>
      <c r="BZ23" s="111"/>
      <c r="CA23" s="111"/>
      <c r="CB23" s="111"/>
      <c r="CC23" s="111"/>
      <c r="CD23" s="111"/>
      <c r="CE23" s="111"/>
      <c r="CF23" s="111"/>
      <c r="CG23" s="111"/>
      <c r="CH23" s="111"/>
      <c r="CI23" s="111"/>
      <c r="CJ23" s="111"/>
      <c r="CK23" s="111"/>
      <c r="CL23" s="111"/>
      <c r="CM23" s="111"/>
      <c r="CN23" s="111"/>
      <c r="CO23" s="111"/>
      <c r="CP23" s="111"/>
      <c r="CQ23" s="111"/>
      <c r="CR23" s="111"/>
      <c r="CS23" s="111"/>
      <c r="CT23" s="111"/>
      <c r="CU23" s="111"/>
      <c r="CV23" s="111"/>
      <c r="CW23" s="111"/>
      <c r="CX23" s="111"/>
      <c r="CY23" s="111"/>
      <c r="CZ23" s="111"/>
      <c r="DA23" s="111"/>
      <c r="DB23" s="111"/>
      <c r="DC23" s="111"/>
      <c r="DD23" s="111"/>
      <c r="DE23" s="111"/>
      <c r="DF23" s="111"/>
      <c r="DG23" s="111"/>
      <c r="DH23" s="111"/>
      <c r="DI23" s="111"/>
      <c r="DJ23" s="111"/>
      <c r="DK23" s="111"/>
      <c r="DL23" s="111"/>
      <c r="DM23" s="111"/>
      <c r="DN23" s="111"/>
      <c r="DO23" s="111"/>
      <c r="DP23" s="111"/>
    </row>
    <row r="24" s="1" customFormat="true" ht="13.2" hidden="false" customHeight="true" outlineLevel="0" collapsed="false">
      <c r="A24" s="467" t="s">
        <v>298</v>
      </c>
      <c r="B24" s="467"/>
      <c r="C24" s="467"/>
      <c r="D24" s="467"/>
      <c r="E24" s="467"/>
      <c r="F24" s="467"/>
      <c r="G24" s="467"/>
      <c r="H24" s="467"/>
      <c r="I24" s="467"/>
      <c r="J24" s="467"/>
      <c r="K24" s="467"/>
      <c r="L24" s="467"/>
      <c r="M24" s="88"/>
      <c r="N24" s="318"/>
      <c r="O24" s="88"/>
      <c r="P24" s="88"/>
      <c r="Q24" s="88"/>
      <c r="R24" s="88"/>
      <c r="S24" s="88"/>
      <c r="T24" s="88"/>
    </row>
    <row r="25" customFormat="false" ht="9" hidden="false" customHeight="true" outlineLevel="0" collapsed="false">
      <c r="A25" s="205"/>
    </row>
    <row r="26" s="1" customFormat="true" ht="12.75" hidden="false" customHeight="true" outlineLevel="0" collapsed="false">
      <c r="A26" s="205" t="s">
        <v>307</v>
      </c>
      <c r="B26" s="87" t="s">
        <v>343</v>
      </c>
      <c r="C26" s="87"/>
      <c r="D26" s="87"/>
      <c r="E26" s="87"/>
      <c r="F26" s="87"/>
      <c r="G26" s="87"/>
      <c r="H26" s="87"/>
      <c r="I26" s="87"/>
      <c r="J26" s="205" t="s">
        <v>205</v>
      </c>
      <c r="K26" s="454"/>
      <c r="L26" s="454"/>
      <c r="M26" s="88"/>
      <c r="N26" s="318"/>
      <c r="O26" s="88"/>
      <c r="P26" s="88"/>
      <c r="Q26" s="88"/>
      <c r="R26" s="88"/>
      <c r="S26" s="88"/>
      <c r="T26" s="88"/>
    </row>
    <row r="27" s="1" customFormat="true" ht="12.75" hidden="false" customHeight="true" outlineLevel="0" collapsed="false">
      <c r="A27" s="205"/>
      <c r="B27" s="87"/>
      <c r="C27" s="87"/>
      <c r="D27" s="87"/>
      <c r="E27" s="87"/>
      <c r="F27" s="87"/>
      <c r="G27" s="87"/>
      <c r="H27" s="87"/>
      <c r="I27" s="87"/>
      <c r="J27" s="205"/>
      <c r="K27" s="494"/>
      <c r="L27" s="494"/>
      <c r="M27" s="88"/>
      <c r="N27" s="318"/>
      <c r="O27" s="88"/>
      <c r="P27" s="88"/>
      <c r="Q27" s="88"/>
      <c r="R27" s="88"/>
      <c r="S27" s="88"/>
      <c r="T27" s="88"/>
    </row>
    <row r="28" s="1" customFormat="true" ht="13.2" hidden="false" customHeight="true" outlineLevel="0" collapsed="false">
      <c r="A28" s="205" t="s">
        <v>309</v>
      </c>
      <c r="B28" s="87" t="s">
        <v>344</v>
      </c>
      <c r="C28" s="87"/>
      <c r="D28" s="87"/>
      <c r="E28" s="87"/>
      <c r="F28" s="87"/>
      <c r="G28" s="87"/>
      <c r="H28" s="87"/>
      <c r="I28" s="87"/>
      <c r="J28" s="205" t="s">
        <v>206</v>
      </c>
      <c r="K28" s="495" t="n">
        <v>938.19</v>
      </c>
      <c r="L28" s="495"/>
      <c r="M28" s="88"/>
      <c r="N28" s="318"/>
      <c r="O28" s="88"/>
      <c r="P28" s="88"/>
      <c r="Q28" s="88"/>
      <c r="R28" s="88"/>
      <c r="S28" s="88"/>
      <c r="T28" s="88"/>
    </row>
    <row r="29" s="1" customFormat="true" ht="12.75" hidden="false" customHeight="true" outlineLevel="0" collapsed="false">
      <c r="A29" s="205"/>
      <c r="B29" s="496"/>
      <c r="C29" s="87"/>
      <c r="D29" s="87"/>
      <c r="E29" s="87"/>
      <c r="F29" s="87"/>
      <c r="G29" s="87"/>
      <c r="H29" s="87"/>
      <c r="I29" s="87"/>
      <c r="J29" s="87"/>
      <c r="K29" s="87"/>
      <c r="L29" s="87"/>
      <c r="M29" s="88"/>
      <c r="N29" s="318"/>
      <c r="O29" s="88"/>
      <c r="P29" s="88"/>
      <c r="Q29" s="88"/>
      <c r="R29" s="88"/>
      <c r="S29" s="88"/>
      <c r="T29" s="88"/>
    </row>
    <row r="30" s="1" customFormat="true" ht="12.75" hidden="false" customHeight="true" outlineLevel="0" collapsed="false">
      <c r="A30" s="205" t="s">
        <v>312</v>
      </c>
      <c r="B30" s="497" t="s">
        <v>313</v>
      </c>
      <c r="C30" s="197"/>
      <c r="D30" s="197"/>
      <c r="E30" s="197"/>
      <c r="F30" s="197"/>
      <c r="G30" s="197"/>
      <c r="H30" s="197"/>
      <c r="I30" s="197"/>
      <c r="J30" s="498" t="s">
        <v>169</v>
      </c>
      <c r="K30" s="482" t="n">
        <f aca="false">K26*K28</f>
        <v>0</v>
      </c>
      <c r="L30" s="482"/>
      <c r="M30" s="88"/>
      <c r="N30" s="318"/>
      <c r="O30" s="88"/>
      <c r="P30" s="88"/>
      <c r="Q30" s="88"/>
      <c r="R30" s="88"/>
      <c r="S30" s="88"/>
      <c r="T30" s="88"/>
    </row>
    <row r="31" s="1" customFormat="true" ht="12.75" hidden="false" customHeight="true" outlineLevel="0" collapsed="false">
      <c r="A31" s="205"/>
      <c r="B31" s="297"/>
      <c r="C31" s="142"/>
      <c r="D31" s="142"/>
      <c r="E31" s="142"/>
      <c r="F31" s="142"/>
      <c r="G31" s="142"/>
      <c r="H31" s="142"/>
      <c r="I31" s="142"/>
      <c r="J31" s="295"/>
      <c r="K31" s="142"/>
      <c r="L31" s="142"/>
      <c r="M31" s="88"/>
      <c r="N31" s="318"/>
      <c r="O31" s="88"/>
      <c r="P31" s="88"/>
      <c r="Q31" s="88"/>
      <c r="R31" s="88"/>
      <c r="S31" s="88"/>
      <c r="T31" s="88"/>
    </row>
    <row r="32" s="1" customFormat="true" ht="12.75" hidden="false" customHeight="true" outlineLevel="0" collapsed="false">
      <c r="A32" s="205" t="s">
        <v>345</v>
      </c>
      <c r="B32" s="87" t="s">
        <v>346</v>
      </c>
      <c r="C32" s="87"/>
      <c r="D32" s="87"/>
      <c r="E32" s="87"/>
      <c r="F32" s="87"/>
      <c r="G32" s="87"/>
      <c r="H32" s="87"/>
      <c r="I32" s="87"/>
      <c r="J32" s="205"/>
      <c r="K32" s="500" t="n">
        <v>0.1</v>
      </c>
      <c r="L32" s="500"/>
      <c r="M32" s="88"/>
      <c r="N32" s="318"/>
      <c r="O32" s="88"/>
      <c r="P32" s="88"/>
      <c r="Q32" s="88"/>
      <c r="R32" s="88"/>
      <c r="S32" s="88"/>
      <c r="T32" s="88"/>
    </row>
    <row r="33" s="1" customFormat="true" ht="12.75" hidden="false" customHeight="true" outlineLevel="0" collapsed="false">
      <c r="A33" s="205"/>
      <c r="B33" s="297"/>
      <c r="C33" s="142"/>
      <c r="D33" s="142"/>
      <c r="E33" s="142"/>
      <c r="F33" s="142"/>
      <c r="G33" s="142"/>
      <c r="H33" s="142"/>
      <c r="I33" s="142"/>
      <c r="J33" s="295"/>
      <c r="K33" s="142"/>
      <c r="L33" s="142"/>
      <c r="M33" s="88"/>
      <c r="N33" s="318"/>
      <c r="O33" s="88"/>
      <c r="P33" s="88"/>
      <c r="Q33" s="88"/>
      <c r="R33" s="88"/>
      <c r="S33" s="88"/>
      <c r="T33" s="88"/>
    </row>
    <row r="34" s="1" customFormat="true" ht="12.75" hidden="false" customHeight="true" outlineLevel="0" collapsed="false">
      <c r="A34" s="205" t="s">
        <v>347</v>
      </c>
      <c r="B34" s="497" t="s">
        <v>348</v>
      </c>
      <c r="C34" s="197"/>
      <c r="D34" s="197"/>
      <c r="E34" s="197"/>
      <c r="F34" s="197"/>
      <c r="G34" s="197"/>
      <c r="H34" s="197"/>
      <c r="I34" s="197"/>
      <c r="J34" s="498" t="s">
        <v>169</v>
      </c>
      <c r="K34" s="482" t="n">
        <f aca="false">K30*K32</f>
        <v>0</v>
      </c>
      <c r="L34" s="482"/>
      <c r="M34" s="88"/>
      <c r="N34" s="318"/>
      <c r="O34" s="88"/>
      <c r="P34" s="88"/>
      <c r="Q34" s="88"/>
      <c r="R34" s="88"/>
      <c r="S34" s="88"/>
      <c r="T34" s="88"/>
    </row>
    <row r="35" s="88" customFormat="true" ht="13.2" hidden="false" customHeight="true" outlineLevel="0" collapsed="false">
      <c r="A35" s="205"/>
      <c r="B35" s="87"/>
      <c r="C35" s="87"/>
      <c r="D35" s="87"/>
      <c r="E35" s="87"/>
      <c r="F35" s="87"/>
      <c r="G35" s="87"/>
      <c r="H35" s="87"/>
      <c r="I35" s="87"/>
      <c r="J35" s="87"/>
      <c r="K35" s="87"/>
      <c r="L35" s="87"/>
      <c r="N35" s="318"/>
    </row>
    <row r="36" s="88" customFormat="true" ht="13.2" hidden="false" customHeight="true" outlineLevel="0" collapsed="false">
      <c r="A36" s="295"/>
      <c r="B36" s="295"/>
      <c r="C36" s="295"/>
      <c r="D36" s="295"/>
      <c r="E36" s="295"/>
      <c r="F36" s="295"/>
      <c r="G36" s="295"/>
      <c r="H36" s="295"/>
      <c r="I36" s="295"/>
      <c r="J36" s="295"/>
      <c r="K36" s="295"/>
      <c r="L36" s="295"/>
      <c r="N36" s="318"/>
    </row>
    <row r="37" s="88" customFormat="true" ht="45" hidden="false" customHeight="true" outlineLevel="0" collapsed="false">
      <c r="A37" s="489" t="s">
        <v>350</v>
      </c>
      <c r="B37" s="489"/>
      <c r="C37" s="489"/>
      <c r="D37" s="489"/>
      <c r="E37" s="489"/>
      <c r="F37" s="489"/>
      <c r="G37" s="489"/>
      <c r="H37" s="489"/>
      <c r="I37" s="489"/>
      <c r="J37" s="489"/>
      <c r="K37" s="489"/>
      <c r="L37" s="489"/>
      <c r="N37" s="318"/>
    </row>
    <row r="38" s="88" customFormat="true" ht="17.4" hidden="false" customHeight="true" outlineLevel="0" collapsed="false">
      <c r="A38" s="490"/>
      <c r="B38" s="114"/>
      <c r="C38" s="114"/>
      <c r="D38" s="114"/>
      <c r="E38" s="114"/>
      <c r="F38" s="114"/>
      <c r="G38" s="114"/>
      <c r="H38" s="114"/>
      <c r="I38" s="114"/>
      <c r="J38" s="114"/>
      <c r="K38" s="114"/>
      <c r="L38" s="491"/>
      <c r="N38" s="318"/>
    </row>
    <row r="39" s="88" customFormat="true" ht="18" hidden="false" customHeight="true" outlineLevel="0" collapsed="false">
      <c r="A39" s="107" t="s">
        <v>161</v>
      </c>
      <c r="B39" s="248"/>
      <c r="C39" s="248"/>
      <c r="D39" s="248"/>
      <c r="E39" s="248"/>
      <c r="F39" s="248"/>
      <c r="G39" s="208" t="s">
        <v>162</v>
      </c>
      <c r="H39" s="208"/>
      <c r="I39" s="208"/>
      <c r="J39" s="208"/>
      <c r="K39" s="249"/>
      <c r="L39" s="249"/>
      <c r="N39" s="318"/>
    </row>
    <row r="40" s="88" customFormat="true" ht="18" hidden="false" customHeight="true" outlineLevel="0" collapsed="false">
      <c r="A40" s="490"/>
      <c r="B40" s="492"/>
      <c r="C40" s="107"/>
      <c r="D40" s="107"/>
      <c r="E40" s="122"/>
      <c r="F40" s="107"/>
      <c r="G40" s="493"/>
      <c r="H40" s="107"/>
      <c r="I40" s="122"/>
      <c r="J40" s="493"/>
      <c r="K40" s="114"/>
      <c r="L40" s="114"/>
      <c r="N40" s="318"/>
    </row>
    <row r="41" s="88" customFormat="true" ht="13.2" hidden="false" customHeight="true" outlineLevel="0" collapsed="false">
      <c r="A41" s="467" t="s">
        <v>298</v>
      </c>
      <c r="B41" s="467"/>
      <c r="C41" s="467"/>
      <c r="D41" s="467"/>
      <c r="E41" s="467"/>
      <c r="F41" s="467"/>
      <c r="G41" s="467"/>
      <c r="H41" s="467"/>
      <c r="I41" s="467"/>
      <c r="J41" s="467"/>
      <c r="K41" s="467"/>
      <c r="L41" s="467"/>
      <c r="N41" s="318"/>
    </row>
    <row r="42" s="88" customFormat="true" ht="13.2" hidden="false" customHeight="true" outlineLevel="0" collapsed="false">
      <c r="A42" s="205"/>
      <c r="B42" s="205"/>
      <c r="C42" s="87"/>
      <c r="D42" s="87"/>
      <c r="E42" s="87"/>
      <c r="F42" s="87"/>
      <c r="G42" s="87"/>
      <c r="H42" s="87"/>
      <c r="I42" s="87"/>
      <c r="J42" s="87"/>
      <c r="K42" s="87"/>
      <c r="L42" s="87"/>
      <c r="N42" s="318"/>
    </row>
    <row r="43" s="88" customFormat="true" ht="14.65" hidden="false" customHeight="true" outlineLevel="0" collapsed="false">
      <c r="A43" s="205" t="s">
        <v>307</v>
      </c>
      <c r="B43" s="87" t="s">
        <v>351</v>
      </c>
      <c r="C43" s="87"/>
      <c r="D43" s="87"/>
      <c r="E43" s="87"/>
      <c r="F43" s="87"/>
      <c r="G43" s="87"/>
      <c r="H43" s="87"/>
      <c r="I43" s="87"/>
      <c r="J43" s="205" t="s">
        <v>169</v>
      </c>
      <c r="K43" s="454"/>
      <c r="L43" s="454"/>
      <c r="N43" s="318"/>
    </row>
    <row r="44" s="88" customFormat="true" ht="13.2" hidden="false" customHeight="true" outlineLevel="0" collapsed="false">
      <c r="A44" s="205"/>
      <c r="B44" s="87"/>
      <c r="C44" s="87"/>
      <c r="D44" s="87"/>
      <c r="E44" s="87"/>
      <c r="F44" s="87"/>
      <c r="G44" s="87"/>
      <c r="H44" s="87"/>
      <c r="I44" s="87"/>
      <c r="J44" s="205"/>
      <c r="K44" s="142"/>
      <c r="L44" s="142"/>
      <c r="N44" s="318"/>
    </row>
    <row r="45" s="88" customFormat="true" ht="13.2" hidden="false" customHeight="true" outlineLevel="0" collapsed="false">
      <c r="A45" s="205" t="s">
        <v>309</v>
      </c>
      <c r="B45" s="87" t="s">
        <v>346</v>
      </c>
      <c r="C45" s="87"/>
      <c r="D45" s="87"/>
      <c r="E45" s="87"/>
      <c r="F45" s="87"/>
      <c r="G45" s="87"/>
      <c r="H45" s="87"/>
      <c r="I45" s="87"/>
      <c r="J45" s="205"/>
      <c r="K45" s="501" t="n">
        <v>0.05</v>
      </c>
      <c r="L45" s="501"/>
      <c r="M45" s="87"/>
      <c r="N45" s="316"/>
      <c r="O45" s="87"/>
      <c r="P45" s="87"/>
      <c r="Q45" s="87"/>
      <c r="R45" s="87"/>
      <c r="S45" s="87"/>
      <c r="T45" s="87"/>
      <c r="U45" s="87"/>
      <c r="V45" s="87"/>
      <c r="W45" s="87"/>
      <c r="X45" s="87"/>
      <c r="Y45" s="87"/>
      <c r="Z45" s="87"/>
      <c r="AA45" s="87"/>
      <c r="AB45" s="87"/>
      <c r="AC45" s="87"/>
      <c r="AD45" s="87"/>
      <c r="AE45" s="87"/>
      <c r="AF45" s="87"/>
      <c r="AG45" s="87"/>
      <c r="AH45" s="87"/>
      <c r="AI45" s="87"/>
    </row>
    <row r="46" s="88" customFormat="true" ht="13.2" hidden="false" customHeight="true" outlineLevel="0" collapsed="false">
      <c r="A46" s="205"/>
      <c r="B46" s="297"/>
      <c r="C46" s="142"/>
      <c r="D46" s="142"/>
      <c r="E46" s="142"/>
      <c r="F46" s="142"/>
      <c r="G46" s="142"/>
      <c r="H46" s="142"/>
      <c r="I46" s="142"/>
      <c r="J46" s="295"/>
      <c r="K46" s="142"/>
      <c r="L46" s="142"/>
      <c r="M46" s="87"/>
      <c r="N46" s="316"/>
      <c r="O46" s="87"/>
      <c r="P46" s="87"/>
      <c r="Q46" s="87"/>
      <c r="R46" s="87"/>
      <c r="S46" s="87"/>
      <c r="T46" s="87"/>
      <c r="U46" s="87"/>
      <c r="V46" s="87"/>
      <c r="W46" s="87"/>
      <c r="X46" s="87"/>
      <c r="Y46" s="87"/>
      <c r="Z46" s="87"/>
      <c r="AA46" s="87"/>
      <c r="AB46" s="87"/>
      <c r="AC46" s="87"/>
      <c r="AD46" s="87"/>
      <c r="AE46" s="87"/>
      <c r="AF46" s="87"/>
      <c r="AG46" s="87"/>
      <c r="AH46" s="87"/>
      <c r="AI46" s="87"/>
    </row>
    <row r="47" s="88" customFormat="true" ht="13.2" hidden="false" customHeight="true" outlineLevel="0" collapsed="false">
      <c r="A47" s="205" t="s">
        <v>312</v>
      </c>
      <c r="B47" s="497" t="s">
        <v>352</v>
      </c>
      <c r="C47" s="197"/>
      <c r="D47" s="197"/>
      <c r="E47" s="197"/>
      <c r="F47" s="197"/>
      <c r="G47" s="197"/>
      <c r="H47" s="197"/>
      <c r="I47" s="197"/>
      <c r="J47" s="498" t="s">
        <v>169</v>
      </c>
      <c r="K47" s="499" t="n">
        <f aca="false">K43*K45</f>
        <v>0</v>
      </c>
      <c r="L47" s="499"/>
      <c r="M47" s="87"/>
      <c r="N47" s="316"/>
      <c r="O47" s="87"/>
      <c r="P47" s="87"/>
      <c r="Q47" s="87"/>
      <c r="R47" s="87"/>
      <c r="S47" s="87"/>
      <c r="T47" s="87"/>
      <c r="U47" s="87"/>
      <c r="V47" s="87"/>
      <c r="W47" s="87"/>
      <c r="X47" s="87"/>
      <c r="Y47" s="87"/>
      <c r="Z47" s="87"/>
      <c r="AA47" s="87"/>
      <c r="AB47" s="87"/>
      <c r="AC47" s="87"/>
      <c r="AD47" s="87"/>
      <c r="AE47" s="87"/>
      <c r="AF47" s="87"/>
      <c r="AG47" s="87"/>
      <c r="AH47" s="87"/>
      <c r="AI47" s="87"/>
    </row>
    <row r="48" s="88" customFormat="true" ht="13.2" hidden="false" customHeight="true" outlineLevel="0" collapsed="false">
      <c r="A48" s="205"/>
      <c r="B48" s="297"/>
      <c r="C48" s="142"/>
      <c r="D48" s="142"/>
      <c r="E48" s="142"/>
      <c r="F48" s="142"/>
      <c r="G48" s="142"/>
      <c r="H48" s="142"/>
      <c r="I48" s="142"/>
      <c r="J48" s="295"/>
      <c r="K48" s="142"/>
      <c r="L48" s="142"/>
      <c r="M48" s="87"/>
      <c r="N48" s="316"/>
      <c r="O48" s="87"/>
      <c r="P48" s="87"/>
      <c r="Q48" s="87"/>
      <c r="R48" s="87"/>
      <c r="S48" s="87"/>
      <c r="T48" s="87"/>
      <c r="U48" s="87"/>
      <c r="V48" s="87"/>
      <c r="W48" s="87"/>
      <c r="X48" s="87"/>
      <c r="Y48" s="87"/>
      <c r="Z48" s="87"/>
      <c r="AA48" s="87"/>
      <c r="AB48" s="87"/>
      <c r="AC48" s="87"/>
      <c r="AD48" s="87"/>
      <c r="AE48" s="87"/>
      <c r="AF48" s="87"/>
      <c r="AG48" s="87"/>
      <c r="AH48" s="87"/>
      <c r="AI48" s="87"/>
    </row>
    <row r="49" s="88" customFormat="true" ht="13.2" hidden="false" customHeight="true" outlineLevel="0" collapsed="false">
      <c r="A49" s="205"/>
      <c r="B49" s="205"/>
      <c r="C49" s="87"/>
      <c r="D49" s="87"/>
      <c r="E49" s="87"/>
      <c r="F49" s="87"/>
      <c r="G49" s="87"/>
      <c r="H49" s="87"/>
      <c r="I49" s="87"/>
      <c r="J49" s="87"/>
      <c r="K49" s="87"/>
      <c r="L49" s="87"/>
      <c r="M49" s="87"/>
      <c r="N49" s="316"/>
      <c r="O49" s="87"/>
      <c r="P49" s="87"/>
      <c r="Q49" s="87"/>
      <c r="R49" s="87"/>
      <c r="S49" s="87"/>
      <c r="T49" s="87"/>
      <c r="U49" s="87"/>
      <c r="V49" s="87"/>
      <c r="W49" s="87"/>
      <c r="X49" s="87"/>
      <c r="Y49" s="87"/>
      <c r="Z49" s="87"/>
      <c r="AA49" s="87"/>
      <c r="AB49" s="87"/>
      <c r="AC49" s="87"/>
      <c r="AD49" s="87"/>
      <c r="AE49" s="87"/>
      <c r="AF49" s="87"/>
      <c r="AG49" s="87"/>
      <c r="AH49" s="87"/>
      <c r="AI49" s="87"/>
    </row>
    <row r="50" s="88" customFormat="true" ht="13.2" hidden="false" customHeight="true" outlineLevel="0" collapsed="false">
      <c r="A50" s="205"/>
      <c r="B50" s="205"/>
      <c r="C50" s="87"/>
      <c r="D50" s="87"/>
      <c r="E50" s="87"/>
      <c r="F50" s="87"/>
      <c r="G50" s="87"/>
      <c r="H50" s="87"/>
      <c r="I50" s="87"/>
      <c r="J50" s="87"/>
      <c r="K50" s="87"/>
      <c r="L50" s="87"/>
      <c r="M50" s="87"/>
      <c r="N50" s="316"/>
      <c r="O50" s="87"/>
      <c r="P50" s="87"/>
      <c r="Q50" s="87"/>
      <c r="R50" s="87"/>
      <c r="S50" s="87"/>
      <c r="T50" s="87"/>
      <c r="U50" s="87"/>
      <c r="V50" s="87"/>
      <c r="W50" s="87"/>
      <c r="X50" s="87"/>
      <c r="Y50" s="87"/>
      <c r="Z50" s="87"/>
      <c r="AA50" s="87"/>
      <c r="AB50" s="87"/>
      <c r="AC50" s="87"/>
      <c r="AD50" s="87"/>
      <c r="AE50" s="87"/>
      <c r="AF50" s="87"/>
      <c r="AG50" s="87"/>
      <c r="AH50" s="87"/>
      <c r="AI50" s="87"/>
    </row>
    <row r="51" s="88" customFormat="true" ht="13.2" hidden="false" customHeight="true" outlineLevel="0" collapsed="false">
      <c r="A51" s="205"/>
      <c r="B51" s="205"/>
      <c r="C51" s="87"/>
      <c r="D51" s="87"/>
      <c r="E51" s="87"/>
      <c r="F51" s="87"/>
      <c r="G51" s="87"/>
      <c r="H51" s="87"/>
      <c r="I51" s="87"/>
      <c r="J51" s="87"/>
      <c r="K51" s="87"/>
      <c r="L51" s="87"/>
      <c r="M51" s="87"/>
      <c r="N51" s="316"/>
      <c r="O51" s="87"/>
      <c r="P51" s="87"/>
      <c r="Q51" s="87"/>
      <c r="R51" s="87"/>
      <c r="S51" s="87"/>
      <c r="T51" s="87"/>
      <c r="U51" s="87"/>
      <c r="V51" s="87"/>
      <c r="W51" s="87"/>
      <c r="X51" s="87"/>
      <c r="Y51" s="87"/>
      <c r="Z51" s="87"/>
      <c r="AA51" s="87"/>
      <c r="AB51" s="87"/>
      <c r="AC51" s="87"/>
      <c r="AD51" s="87"/>
      <c r="AE51" s="87"/>
      <c r="AF51" s="87"/>
      <c r="AG51" s="87"/>
      <c r="AH51" s="87"/>
      <c r="AI51" s="87"/>
    </row>
    <row r="52" s="88" customFormat="true" ht="13.2" hidden="false" customHeight="true" outlineLevel="0" collapsed="false">
      <c r="A52" s="205"/>
      <c r="B52" s="205"/>
      <c r="C52" s="87"/>
      <c r="D52" s="87"/>
      <c r="E52" s="87"/>
      <c r="F52" s="87"/>
      <c r="G52" s="87"/>
      <c r="H52" s="87"/>
      <c r="I52" s="87"/>
      <c r="J52" s="87"/>
      <c r="K52" s="87"/>
      <c r="L52" s="87"/>
      <c r="M52" s="87"/>
      <c r="N52" s="316"/>
      <c r="O52" s="87"/>
      <c r="P52" s="87"/>
      <c r="Q52" s="87"/>
      <c r="R52" s="87"/>
      <c r="S52" s="87"/>
      <c r="T52" s="87"/>
      <c r="U52" s="87"/>
      <c r="V52" s="87"/>
      <c r="W52" s="87"/>
      <c r="X52" s="87"/>
      <c r="Y52" s="87"/>
      <c r="Z52" s="87"/>
      <c r="AA52" s="87"/>
      <c r="AB52" s="87"/>
      <c r="AC52" s="87"/>
      <c r="AD52" s="87"/>
      <c r="AE52" s="87"/>
      <c r="AF52" s="87"/>
      <c r="AG52" s="87"/>
      <c r="AH52" s="87"/>
      <c r="AI52" s="87"/>
    </row>
    <row r="53" s="88" customFormat="true" ht="13.2" hidden="false" customHeight="true" outlineLevel="0" collapsed="false">
      <c r="A53" s="205"/>
      <c r="B53" s="205"/>
      <c r="C53" s="87"/>
      <c r="D53" s="87"/>
      <c r="E53" s="87"/>
      <c r="F53" s="87"/>
      <c r="G53" s="87"/>
      <c r="H53" s="87"/>
      <c r="I53" s="87"/>
      <c r="J53" s="87"/>
      <c r="K53" s="87"/>
      <c r="L53" s="87"/>
      <c r="M53" s="87"/>
      <c r="N53" s="316"/>
      <c r="O53" s="87"/>
      <c r="P53" s="87"/>
      <c r="Q53" s="87"/>
      <c r="R53" s="87"/>
      <c r="S53" s="87"/>
      <c r="T53" s="87"/>
      <c r="U53" s="87"/>
      <c r="V53" s="87"/>
      <c r="W53" s="87"/>
      <c r="X53" s="87"/>
      <c r="Y53" s="87"/>
      <c r="Z53" s="87"/>
      <c r="AA53" s="87"/>
      <c r="AB53" s="87"/>
      <c r="AC53" s="87"/>
      <c r="AD53" s="87"/>
      <c r="AE53" s="87"/>
      <c r="AF53" s="87"/>
      <c r="AG53" s="87"/>
      <c r="AH53" s="87"/>
      <c r="AI53" s="87"/>
    </row>
    <row r="54" s="88" customFormat="true" ht="13.2" hidden="false" customHeight="true" outlineLevel="0" collapsed="false">
      <c r="A54" s="205"/>
      <c r="B54" s="205"/>
      <c r="C54" s="87"/>
      <c r="D54" s="87"/>
      <c r="E54" s="87"/>
      <c r="F54" s="87"/>
      <c r="G54" s="87"/>
      <c r="H54" s="87"/>
      <c r="I54" s="87"/>
      <c r="J54" s="87"/>
      <c r="K54" s="87"/>
      <c r="L54" s="87"/>
      <c r="M54" s="87"/>
      <c r="N54" s="316"/>
      <c r="O54" s="87"/>
      <c r="P54" s="87"/>
      <c r="Q54" s="87"/>
      <c r="R54" s="87"/>
      <c r="S54" s="87"/>
      <c r="T54" s="87"/>
      <c r="U54" s="87"/>
      <c r="V54" s="87"/>
      <c r="W54" s="87"/>
      <c r="X54" s="87"/>
      <c r="Y54" s="87"/>
      <c r="Z54" s="87"/>
      <c r="AA54" s="87"/>
      <c r="AB54" s="87"/>
      <c r="AC54" s="87"/>
      <c r="AD54" s="87"/>
      <c r="AE54" s="87"/>
      <c r="AF54" s="87"/>
      <c r="AG54" s="87"/>
      <c r="AH54" s="87"/>
      <c r="AI54" s="87"/>
    </row>
  </sheetData>
  <sheetProtection sheet="true" objects="true" scenarios="true"/>
  <mergeCells count="31">
    <mergeCell ref="A1:L1"/>
    <mergeCell ref="A2:L2"/>
    <mergeCell ref="A4:L4"/>
    <mergeCell ref="B6:F6"/>
    <mergeCell ref="G6:J6"/>
    <mergeCell ref="K6:L6"/>
    <mergeCell ref="A8:L8"/>
    <mergeCell ref="K10:L10"/>
    <mergeCell ref="K12:L12"/>
    <mergeCell ref="K14:L14"/>
    <mergeCell ref="K16:L16"/>
    <mergeCell ref="K18:L18"/>
    <mergeCell ref="A20:L20"/>
    <mergeCell ref="B22:F22"/>
    <mergeCell ref="G22:J22"/>
    <mergeCell ref="K22:L22"/>
    <mergeCell ref="A24:L24"/>
    <mergeCell ref="K26:L26"/>
    <mergeCell ref="K28:L28"/>
    <mergeCell ref="K30:L30"/>
    <mergeCell ref="K32:L32"/>
    <mergeCell ref="K34:L34"/>
    <mergeCell ref="A36:L36"/>
    <mergeCell ref="A37:L37"/>
    <mergeCell ref="B39:F39"/>
    <mergeCell ref="G39:J39"/>
    <mergeCell ref="K39:L39"/>
    <mergeCell ref="A41:L41"/>
    <mergeCell ref="K43:L43"/>
    <mergeCell ref="K45:L45"/>
    <mergeCell ref="K47:L47"/>
  </mergeCells>
  <printOptions headings="false" gridLines="false" gridLinesSet="true" horizontalCentered="true" verticalCentered="true"/>
  <pageMargins left="0.747916666666667" right="0.747916666666667" top="0.984027777777778" bottom="0.708333333333333"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C31"/>
  <sheetViews>
    <sheetView showFormulas="false" showGridLines="false" showRowColHeaders="true" showZeros="true" rightToLeft="false" tabSelected="false" showOutlineSymbols="true" defaultGridColor="true" view="normal" topLeftCell="A15" colorId="64" zoomScale="125" zoomScaleNormal="125" zoomScalePageLayoutView="100" workbookViewId="0">
      <selection pane="topLeft" activeCell="B18" activeCellId="0" sqref="B18"/>
    </sheetView>
  </sheetViews>
  <sheetFormatPr defaultColWidth="8.5078125" defaultRowHeight="13.2" zeroHeight="false" outlineLevelRow="0" outlineLevelCol="0"/>
  <cols>
    <col collapsed="false" customWidth="true" hidden="false" outlineLevel="0" max="1" min="1" style="502" width="3.73"/>
    <col collapsed="false" customWidth="true" hidden="false" outlineLevel="0" max="2" min="2" style="502" width="28.29"/>
    <col collapsed="false" customWidth="true" hidden="false" outlineLevel="0" max="3" min="3" style="502" width="12.29"/>
    <col collapsed="false" customWidth="true" hidden="false" outlineLevel="0" max="4" min="4" style="503" width="4.73"/>
    <col collapsed="false" customWidth="true" hidden="false" outlineLevel="0" max="5" min="5" style="87" width="14.73"/>
    <col collapsed="false" customWidth="true" hidden="false" outlineLevel="0" max="6" min="6" style="504" width="4.73"/>
    <col collapsed="false" customWidth="true" hidden="false" outlineLevel="0" max="7" min="7" style="87" width="12.29"/>
    <col collapsed="false" customWidth="false" hidden="false" outlineLevel="0" max="33" min="8" style="87" width="8.49"/>
    <col collapsed="false" customWidth="false" hidden="false" outlineLevel="0" max="40" min="34" style="88" width="8.49"/>
    <col collapsed="false" customWidth="false" hidden="false" outlineLevel="0" max="244" min="41" style="1" width="8.49"/>
  </cols>
  <sheetData>
    <row r="1" customFormat="false" ht="13.2" hidden="false" customHeight="true" outlineLevel="0" collapsed="false">
      <c r="A1" s="426" t="s">
        <v>159</v>
      </c>
      <c r="B1" s="426"/>
      <c r="C1" s="426"/>
      <c r="D1" s="426"/>
      <c r="E1" s="426"/>
      <c r="F1" s="426"/>
      <c r="G1" s="426"/>
      <c r="H1" s="295"/>
      <c r="I1" s="295"/>
      <c r="J1" s="88"/>
      <c r="K1" s="88"/>
      <c r="L1" s="88"/>
      <c r="M1" s="88"/>
      <c r="N1" s="88"/>
      <c r="O1" s="88"/>
      <c r="P1" s="88"/>
      <c r="Q1" s="88"/>
      <c r="R1" s="88"/>
      <c r="S1" s="88"/>
      <c r="T1" s="88"/>
      <c r="U1" s="88"/>
      <c r="V1" s="88"/>
      <c r="W1" s="88"/>
      <c r="X1" s="88"/>
      <c r="Y1" s="88"/>
      <c r="Z1" s="88"/>
      <c r="AA1" s="88"/>
      <c r="AB1" s="88"/>
      <c r="AC1" s="88"/>
      <c r="AD1" s="88"/>
      <c r="AE1" s="88"/>
      <c r="AF1" s="88"/>
      <c r="AG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row>
    <row r="2" customFormat="false" ht="17.25" hidden="false" customHeight="true" outlineLevel="0" collapsed="false">
      <c r="A2" s="427" t="s">
        <v>353</v>
      </c>
      <c r="B2" s="427"/>
      <c r="C2" s="427"/>
      <c r="D2" s="427"/>
      <c r="E2" s="427"/>
      <c r="F2" s="427"/>
      <c r="G2" s="427"/>
      <c r="H2" s="107"/>
      <c r="I2" s="107"/>
      <c r="J2" s="88"/>
      <c r="K2" s="88"/>
      <c r="L2" s="88"/>
      <c r="M2" s="88"/>
      <c r="N2" s="88"/>
      <c r="O2" s="88"/>
      <c r="P2" s="88"/>
      <c r="Q2" s="88"/>
      <c r="R2" s="88"/>
      <c r="S2" s="88"/>
      <c r="T2" s="88"/>
      <c r="U2" s="88"/>
      <c r="V2" s="88"/>
      <c r="W2" s="88"/>
      <c r="X2" s="88"/>
      <c r="Y2" s="88"/>
      <c r="Z2" s="88"/>
      <c r="AA2" s="88"/>
      <c r="AB2" s="88"/>
      <c r="AC2" s="88"/>
      <c r="AD2" s="88"/>
      <c r="AE2" s="88"/>
      <c r="AF2" s="88"/>
      <c r="AG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row>
    <row r="3" customFormat="false" ht="7.5" hidden="false" customHeight="true" outlineLevel="0" collapsed="false">
      <c r="A3" s="505"/>
      <c r="B3" s="505"/>
      <c r="C3" s="505"/>
      <c r="D3" s="505"/>
      <c r="E3" s="505"/>
      <c r="F3" s="505"/>
      <c r="G3" s="505"/>
      <c r="H3" s="107"/>
      <c r="I3" s="107"/>
      <c r="J3" s="88"/>
      <c r="K3" s="88"/>
      <c r="L3" s="88"/>
      <c r="M3" s="88"/>
      <c r="N3" s="88"/>
      <c r="O3" s="88"/>
      <c r="P3" s="88"/>
      <c r="Q3" s="88"/>
      <c r="R3" s="88"/>
      <c r="S3" s="88"/>
      <c r="T3" s="88"/>
      <c r="U3" s="88"/>
      <c r="V3" s="88"/>
      <c r="W3" s="88"/>
      <c r="X3" s="88"/>
      <c r="Y3" s="88"/>
      <c r="Z3" s="88"/>
      <c r="AA3" s="88"/>
      <c r="AB3" s="88"/>
      <c r="AC3" s="88"/>
      <c r="AD3" s="88"/>
      <c r="AE3" s="88"/>
      <c r="AF3" s="88"/>
      <c r="AG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row>
    <row r="4" customFormat="false" ht="15.6" hidden="false" customHeight="true" outlineLevel="0" collapsed="false">
      <c r="A4" s="506" t="s">
        <v>149</v>
      </c>
      <c r="B4" s="506"/>
      <c r="C4" s="506"/>
      <c r="D4" s="506"/>
      <c r="E4" s="506"/>
      <c r="F4" s="506"/>
      <c r="G4" s="506"/>
    </row>
    <row r="5" s="112" customFormat="true" ht="6" hidden="false" customHeight="true" outlineLevel="0" collapsed="false">
      <c r="A5" s="212"/>
      <c r="B5" s="114"/>
      <c r="C5" s="114"/>
      <c r="D5" s="114"/>
      <c r="E5" s="114"/>
      <c r="F5" s="114"/>
      <c r="G5" s="114"/>
      <c r="H5" s="114"/>
      <c r="I5" s="114"/>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c r="CK5" s="111"/>
      <c r="CL5" s="111"/>
      <c r="CM5" s="111"/>
      <c r="CN5" s="111"/>
      <c r="CO5" s="111"/>
      <c r="CP5" s="111"/>
      <c r="CQ5" s="111"/>
      <c r="CR5" s="111"/>
      <c r="CS5" s="111"/>
      <c r="CT5" s="111"/>
      <c r="CU5" s="111"/>
      <c r="CV5" s="111"/>
      <c r="CW5" s="111"/>
      <c r="CX5" s="111"/>
      <c r="CY5" s="111"/>
      <c r="CZ5" s="111"/>
      <c r="DA5" s="111"/>
      <c r="DB5" s="111"/>
      <c r="DC5" s="111"/>
    </row>
    <row r="6" s="112" customFormat="true" ht="18" hidden="false" customHeight="true" outlineLevel="0" collapsed="false">
      <c r="A6" s="507" t="s">
        <v>354</v>
      </c>
      <c r="B6" s="248"/>
      <c r="C6" s="248"/>
      <c r="D6" s="507"/>
      <c r="E6" s="493" t="s">
        <v>162</v>
      </c>
      <c r="F6" s="508"/>
      <c r="G6" s="249"/>
      <c r="H6" s="107"/>
      <c r="I6" s="122"/>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c r="CK6" s="111"/>
      <c r="CL6" s="111"/>
      <c r="CM6" s="111"/>
      <c r="CN6" s="111"/>
      <c r="CO6" s="111"/>
      <c r="CP6" s="111"/>
      <c r="CQ6" s="111"/>
      <c r="CR6" s="111"/>
      <c r="CS6" s="111"/>
      <c r="CT6" s="111"/>
      <c r="CU6" s="111"/>
      <c r="CV6" s="111"/>
      <c r="CW6" s="111"/>
      <c r="CX6" s="111"/>
      <c r="CY6" s="111"/>
      <c r="CZ6" s="111"/>
      <c r="DA6" s="111"/>
      <c r="DB6" s="111"/>
      <c r="DC6" s="111"/>
    </row>
    <row r="7" s="112" customFormat="true" ht="6.75" hidden="false" customHeight="true" outlineLevel="0" collapsed="false">
      <c r="A7" s="507"/>
      <c r="B7" s="115"/>
      <c r="C7" s="115"/>
      <c r="D7" s="507"/>
      <c r="E7" s="493"/>
      <c r="F7" s="508"/>
      <c r="G7" s="107"/>
      <c r="H7" s="107"/>
      <c r="I7" s="122"/>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c r="CG7" s="111"/>
      <c r="CH7" s="111"/>
      <c r="CI7" s="111"/>
      <c r="CJ7" s="111"/>
      <c r="CK7" s="111"/>
      <c r="CL7" s="111"/>
      <c r="CM7" s="111"/>
      <c r="CN7" s="111"/>
      <c r="CO7" s="111"/>
      <c r="CP7" s="111"/>
      <c r="CQ7" s="111"/>
      <c r="CR7" s="111"/>
      <c r="CS7" s="111"/>
      <c r="CT7" s="111"/>
      <c r="CU7" s="111"/>
      <c r="CV7" s="111"/>
      <c r="CW7" s="111"/>
      <c r="CX7" s="111"/>
      <c r="CY7" s="111"/>
      <c r="CZ7" s="111"/>
      <c r="DA7" s="111"/>
      <c r="DB7" s="111"/>
      <c r="DC7" s="111"/>
    </row>
    <row r="8" s="112" customFormat="true" ht="18" hidden="false" customHeight="true" outlineLevel="0" collapsed="false">
      <c r="A8" s="507"/>
      <c r="B8" s="115"/>
      <c r="C8" s="115"/>
      <c r="D8" s="507"/>
      <c r="E8" s="493" t="s">
        <v>297</v>
      </c>
      <c r="F8" s="509"/>
      <c r="G8" s="510"/>
      <c r="H8" s="107"/>
      <c r="I8" s="122"/>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1"/>
      <c r="CF8" s="111"/>
      <c r="CG8" s="111"/>
      <c r="CH8" s="111"/>
      <c r="CI8" s="111"/>
      <c r="CJ8" s="111"/>
      <c r="CK8" s="111"/>
      <c r="CL8" s="111"/>
      <c r="CM8" s="111"/>
      <c r="CN8" s="111"/>
      <c r="CO8" s="111"/>
      <c r="CP8" s="111"/>
      <c r="CQ8" s="111"/>
      <c r="CR8" s="111"/>
      <c r="CS8" s="111"/>
      <c r="CT8" s="111"/>
      <c r="CU8" s="111"/>
      <c r="CV8" s="111"/>
      <c r="CW8" s="111"/>
      <c r="CX8" s="111"/>
      <c r="CY8" s="111"/>
      <c r="CZ8" s="111"/>
      <c r="DA8" s="111"/>
      <c r="DB8" s="111"/>
      <c r="DC8" s="111"/>
    </row>
    <row r="9" customFormat="false" ht="14.7" hidden="false" customHeight="true" outlineLevel="0" collapsed="false"/>
    <row r="10" customFormat="false" ht="18" hidden="false" customHeight="true" outlineLevel="0" collapsed="false">
      <c r="A10" s="503" t="s">
        <v>307</v>
      </c>
      <c r="B10" s="502" t="s">
        <v>355</v>
      </c>
      <c r="C10" s="502" t="s">
        <v>356</v>
      </c>
      <c r="F10" s="503" t="s">
        <v>169</v>
      </c>
      <c r="G10" s="511" t="n">
        <f aca="false">Residenziale!F57+'Prod. cat. norm.'!F61+'Prod. cat. spec.'!F61+Commerciale!F62+Ingrosso!F57+'Annessi agricoli'!G11</f>
        <v>0</v>
      </c>
      <c r="H10" s="512"/>
    </row>
    <row r="11" customFormat="false" ht="6" hidden="false" customHeight="true" outlineLevel="0" collapsed="false">
      <c r="A11" s="503"/>
      <c r="F11" s="503"/>
      <c r="G11" s="513"/>
    </row>
    <row r="12" customFormat="false" ht="18" hidden="false" customHeight="true" outlineLevel="0" collapsed="false">
      <c r="A12" s="503"/>
      <c r="C12" s="502" t="s">
        <v>357</v>
      </c>
      <c r="F12" s="503" t="s">
        <v>169</v>
      </c>
      <c r="G12" s="514" t="n">
        <f aca="false">Residenziale!F58+'Prod. cat. norm.'!F62+'Prod. cat. spec.'!F62+Commerciale!F63+Ingrosso!F58+'Annessi agricoli'!G14</f>
        <v>0</v>
      </c>
    </row>
    <row r="13" customFormat="false" ht="6" hidden="false" customHeight="true" outlineLevel="0" collapsed="false">
      <c r="A13" s="503"/>
      <c r="F13" s="503"/>
      <c r="G13" s="515"/>
    </row>
    <row r="14" customFormat="false" ht="18" hidden="false" customHeight="true" outlineLevel="0" collapsed="false">
      <c r="A14" s="503" t="s">
        <v>309</v>
      </c>
      <c r="B14" s="502" t="s">
        <v>358</v>
      </c>
      <c r="F14" s="503" t="s">
        <v>169</v>
      </c>
      <c r="G14" s="514" t="n">
        <f aca="false">Verdi!G32</f>
        <v>0</v>
      </c>
    </row>
    <row r="15" customFormat="false" ht="6" hidden="false" customHeight="true" outlineLevel="0" collapsed="false">
      <c r="A15" s="503"/>
      <c r="F15" s="503"/>
      <c r="G15" s="515"/>
    </row>
    <row r="16" customFormat="false" ht="18" hidden="false" customHeight="true" outlineLevel="0" collapsed="false">
      <c r="A16" s="503" t="s">
        <v>312</v>
      </c>
      <c r="B16" s="502" t="s">
        <v>359</v>
      </c>
      <c r="F16" s="503" t="s">
        <v>169</v>
      </c>
      <c r="G16" s="514" t="n">
        <f aca="false">'costo resid nuovo'!I67+'costo resid nuovo'!I130+'costo resid nuovo'!I193+'costo resid nuovo'!I256+'costo resid nuovo'!I319+'costo resid nuovo'!I382+'costo resid nuovo'!I445+'costo resid nuovo'!I508+'costo resid nuovo'!I571+'costo resid nuovo'!I634+'costo resid ristrutt'!I67+'costo resid ristrutt'!I130+'costo resid ristrutt'!I193+'costo resid ristrutt'!I256+'costo resid ristrutt'!I319+'costo resid ristrutt'!I382+'costo resid ristrutt'!I445+'costo resid ristrutt'!I508+'costo resid ristrutt'!I571+'costo resid ristrutt'!I634+'costo commercio'!K18+'costo commercio'!K34+'costo commercio'!K47</f>
        <v>0</v>
      </c>
    </row>
    <row r="17" customFormat="false" ht="15.6" hidden="false" customHeight="true" outlineLevel="0" collapsed="false">
      <c r="C17" s="516"/>
      <c r="F17" s="503"/>
      <c r="G17" s="515"/>
    </row>
    <row r="18" customFormat="false" ht="18" hidden="false" customHeight="true" outlineLevel="0" collapsed="false">
      <c r="B18" s="517" t="s">
        <v>360</v>
      </c>
      <c r="C18" s="518"/>
      <c r="F18" s="503" t="s">
        <v>169</v>
      </c>
      <c r="G18" s="519" t="n">
        <f aca="false">G10+G12+G14+G16</f>
        <v>0</v>
      </c>
    </row>
    <row r="21" customFormat="false" ht="15.6" hidden="false" customHeight="true" outlineLevel="0" collapsed="false">
      <c r="A21" s="520" t="s">
        <v>361</v>
      </c>
      <c r="B21" s="520"/>
      <c r="C21" s="520"/>
      <c r="D21" s="520"/>
      <c r="E21" s="520"/>
      <c r="F21" s="520"/>
      <c r="G21" s="520"/>
    </row>
    <row r="23" customFormat="false" ht="24" hidden="false" customHeight="true" outlineLevel="0" collapsed="false"/>
    <row r="24" customFormat="false" ht="27.75" hidden="false" customHeight="true" outlineLevel="0" collapsed="false"/>
    <row r="25" customFormat="false" ht="42" hidden="false" customHeight="true" outlineLevel="0" collapsed="false"/>
    <row r="26" customFormat="false" ht="104.25" hidden="false" customHeight="true" outlineLevel="0" collapsed="false"/>
    <row r="27" customFormat="false" ht="52.5" hidden="false" customHeight="true" outlineLevel="0" collapsed="false"/>
    <row r="28" customFormat="false" ht="28.5" hidden="false" customHeight="true" outlineLevel="0" collapsed="false"/>
    <row r="29" customFormat="false" ht="26.25" hidden="false" customHeight="true" outlineLevel="0" collapsed="false"/>
    <row r="30" customFormat="false" ht="25.5" hidden="false" customHeight="true" outlineLevel="0" collapsed="false"/>
    <row r="31" customFormat="false" ht="25.5" hidden="false" customHeight="true" outlineLevel="0" collapsed="false"/>
  </sheetData>
  <sheetProtection sheet="true" password="b476" objects="true" scenarios="true"/>
  <mergeCells count="5">
    <mergeCell ref="A1:G1"/>
    <mergeCell ref="A2:G2"/>
    <mergeCell ref="A4:G4"/>
    <mergeCell ref="B6:C6"/>
    <mergeCell ref="A21:G21"/>
  </mergeCells>
  <printOptions headings="false" gridLines="false" gridLinesSet="true" horizontalCentered="true" verticalCentered="true"/>
  <pageMargins left="0.747916666666667" right="0.747916666666667" top="0.984027777777778" bottom="0.708333333333333"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6552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2" activeCellId="0" sqref="B2"/>
    </sheetView>
  </sheetViews>
  <sheetFormatPr defaultColWidth="8.5078125" defaultRowHeight="30" zeroHeight="false" outlineLevelRow="0" outlineLevelCol="0"/>
  <cols>
    <col collapsed="false" customWidth="true" hidden="false" outlineLevel="0" max="1" min="1" style="521" width="15.32"/>
    <col collapsed="false" customWidth="true" hidden="false" outlineLevel="0" max="5" min="2" style="521" width="25.32"/>
    <col collapsed="false" customWidth="true" hidden="false" outlineLevel="0" max="6" min="6" style="521" width="12.3"/>
    <col collapsed="false" customWidth="false" hidden="false" outlineLevel="0" max="257" min="7" style="521" width="8.49"/>
  </cols>
  <sheetData>
    <row r="1" customFormat="false" ht="30" hidden="false" customHeight="true" outlineLevel="0" collapsed="false">
      <c r="A1" s="522" t="s">
        <v>362</v>
      </c>
      <c r="B1" s="522"/>
      <c r="C1" s="522"/>
      <c r="D1" s="522"/>
      <c r="E1" s="522"/>
      <c r="F1" s="522"/>
    </row>
    <row r="2" customFormat="false" ht="40.5" hidden="false" customHeight="true" outlineLevel="0" collapsed="false">
      <c r="A2" s="523" t="s">
        <v>363</v>
      </c>
      <c r="B2" s="524"/>
      <c r="C2" s="525"/>
      <c r="D2" s="526" t="s">
        <v>364</v>
      </c>
      <c r="E2" s="527" t="n">
        <f aca="false">B2-C13</f>
        <v>0</v>
      </c>
      <c r="F2" s="528"/>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6"/>
      <c r="AW2" s="526"/>
      <c r="AX2" s="526"/>
      <c r="AY2" s="526"/>
      <c r="AZ2" s="526"/>
      <c r="BA2" s="526"/>
      <c r="BB2" s="526"/>
      <c r="BC2" s="526"/>
      <c r="BD2" s="526"/>
      <c r="BE2" s="526"/>
      <c r="BF2" s="526"/>
      <c r="BG2" s="526"/>
      <c r="BH2" s="526"/>
      <c r="BI2" s="526"/>
      <c r="BJ2" s="526"/>
      <c r="BK2" s="526"/>
      <c r="BL2" s="526"/>
      <c r="BM2" s="526"/>
      <c r="BN2" s="526"/>
      <c r="BO2" s="526"/>
      <c r="BP2" s="526"/>
      <c r="BQ2" s="526"/>
      <c r="BR2" s="526"/>
      <c r="BS2" s="526"/>
      <c r="BT2" s="526"/>
      <c r="BU2" s="526"/>
      <c r="BV2" s="526"/>
      <c r="BW2" s="526"/>
      <c r="BX2" s="526"/>
      <c r="BY2" s="526"/>
      <c r="BZ2" s="526"/>
      <c r="CA2" s="526"/>
      <c r="CB2" s="526"/>
      <c r="CC2" s="526"/>
      <c r="CD2" s="526"/>
      <c r="CE2" s="526"/>
      <c r="CF2" s="526"/>
      <c r="CG2" s="526"/>
      <c r="CH2" s="526"/>
      <c r="CI2" s="526"/>
      <c r="CJ2" s="526"/>
      <c r="CK2" s="526"/>
      <c r="CL2" s="526"/>
      <c r="CM2" s="526"/>
      <c r="CN2" s="526"/>
      <c r="CO2" s="526"/>
      <c r="CP2" s="526"/>
      <c r="CQ2" s="526"/>
      <c r="CR2" s="526"/>
      <c r="CS2" s="526"/>
      <c r="CT2" s="526"/>
      <c r="CU2" s="526"/>
      <c r="CV2" s="526"/>
      <c r="CW2" s="526"/>
      <c r="CX2" s="526"/>
      <c r="CY2" s="526"/>
      <c r="CZ2" s="526"/>
      <c r="DA2" s="526"/>
      <c r="DB2" s="526"/>
      <c r="DC2" s="526"/>
      <c r="DD2" s="526"/>
      <c r="DE2" s="526"/>
      <c r="DF2" s="526"/>
      <c r="DG2" s="526"/>
      <c r="DH2" s="526"/>
      <c r="DI2" s="526"/>
      <c r="DJ2" s="526"/>
      <c r="DK2" s="526"/>
      <c r="DL2" s="526"/>
      <c r="DM2" s="526"/>
      <c r="DN2" s="526"/>
      <c r="DO2" s="526"/>
      <c r="DP2" s="526"/>
      <c r="DQ2" s="526"/>
      <c r="DR2" s="526"/>
      <c r="DS2" s="526"/>
      <c r="DT2" s="526"/>
      <c r="DU2" s="526"/>
      <c r="DV2" s="526"/>
      <c r="DW2" s="526"/>
      <c r="DX2" s="526"/>
      <c r="DY2" s="526"/>
      <c r="DZ2" s="526"/>
      <c r="EA2" s="526"/>
      <c r="EB2" s="526"/>
      <c r="EC2" s="526"/>
      <c r="ED2" s="526"/>
      <c r="EE2" s="526"/>
      <c r="EF2" s="526"/>
      <c r="EG2" s="526"/>
      <c r="EH2" s="526"/>
      <c r="EI2" s="526"/>
      <c r="EJ2" s="526"/>
      <c r="EK2" s="526"/>
      <c r="EL2" s="526"/>
      <c r="EM2" s="526"/>
      <c r="EN2" s="526"/>
      <c r="EO2" s="526"/>
      <c r="EP2" s="526"/>
      <c r="EQ2" s="526"/>
      <c r="ER2" s="526"/>
      <c r="ES2" s="526"/>
      <c r="ET2" s="526"/>
      <c r="EU2" s="526"/>
      <c r="EV2" s="526"/>
      <c r="EW2" s="526"/>
      <c r="EX2" s="526"/>
      <c r="EY2" s="526"/>
      <c r="EZ2" s="526"/>
      <c r="FA2" s="526"/>
      <c r="FB2" s="526"/>
      <c r="FC2" s="526"/>
      <c r="FD2" s="526"/>
      <c r="FE2" s="526"/>
      <c r="FF2" s="526"/>
      <c r="FG2" s="526"/>
      <c r="FH2" s="526"/>
      <c r="FI2" s="526"/>
      <c r="FJ2" s="526"/>
      <c r="FK2" s="526"/>
      <c r="FL2" s="526"/>
      <c r="FM2" s="526"/>
      <c r="FN2" s="526"/>
      <c r="FO2" s="526"/>
      <c r="FP2" s="526"/>
      <c r="FQ2" s="526"/>
      <c r="FR2" s="526"/>
      <c r="FS2" s="526"/>
      <c r="FT2" s="526"/>
      <c r="FU2" s="526"/>
      <c r="FV2" s="526"/>
      <c r="FW2" s="526"/>
      <c r="FX2" s="526"/>
      <c r="FY2" s="526"/>
      <c r="FZ2" s="526"/>
      <c r="GA2" s="526"/>
      <c r="GB2" s="526"/>
      <c r="GC2" s="526"/>
      <c r="GD2" s="526"/>
      <c r="GE2" s="526"/>
      <c r="GF2" s="526"/>
      <c r="GG2" s="526"/>
      <c r="GH2" s="526"/>
      <c r="GI2" s="526"/>
      <c r="GJ2" s="526"/>
      <c r="GK2" s="526"/>
      <c r="GL2" s="526"/>
      <c r="GM2" s="526"/>
      <c r="GN2" s="526"/>
      <c r="GO2" s="526"/>
      <c r="GP2" s="526"/>
      <c r="GQ2" s="526"/>
      <c r="GR2" s="526"/>
      <c r="GS2" s="526"/>
      <c r="GT2" s="526"/>
      <c r="GU2" s="526"/>
      <c r="GV2" s="526"/>
      <c r="GW2" s="526"/>
      <c r="GX2" s="526"/>
      <c r="GY2" s="526"/>
      <c r="GZ2" s="526"/>
      <c r="HA2" s="526"/>
      <c r="HB2" s="526"/>
      <c r="HC2" s="526"/>
      <c r="HD2" s="526"/>
      <c r="HE2" s="526"/>
      <c r="HF2" s="526"/>
      <c r="HG2" s="526"/>
      <c r="HH2" s="526"/>
      <c r="HI2" s="526"/>
      <c r="HJ2" s="526"/>
      <c r="HK2" s="526"/>
      <c r="HL2" s="526"/>
      <c r="HM2" s="526"/>
      <c r="HN2" s="526"/>
      <c r="HO2" s="526"/>
      <c r="HP2" s="526"/>
      <c r="HQ2" s="526"/>
      <c r="HR2" s="526"/>
      <c r="HS2" s="526"/>
      <c r="HT2" s="526"/>
      <c r="HU2" s="526"/>
      <c r="HV2" s="526"/>
      <c r="HW2" s="526"/>
      <c r="HX2" s="526"/>
      <c r="HY2" s="526"/>
      <c r="HZ2" s="526"/>
      <c r="IA2" s="526"/>
      <c r="IB2" s="526"/>
      <c r="IC2" s="526"/>
      <c r="ID2" s="526"/>
      <c r="IE2" s="526"/>
      <c r="IF2" s="526"/>
      <c r="IG2" s="526"/>
      <c r="IH2" s="526"/>
      <c r="II2" s="526"/>
      <c r="IJ2" s="526"/>
      <c r="IK2" s="526"/>
      <c r="IL2" s="526"/>
      <c r="IM2" s="526"/>
      <c r="IN2" s="526"/>
      <c r="IO2" s="526"/>
      <c r="IP2" s="526"/>
      <c r="IQ2" s="526"/>
      <c r="IR2" s="526"/>
      <c r="IS2" s="526"/>
      <c r="IT2" s="526"/>
      <c r="IU2" s="526"/>
      <c r="IV2" s="526"/>
      <c r="IW2" s="526"/>
    </row>
    <row r="3" customFormat="false" ht="81.75" hidden="false" customHeight="true" outlineLevel="0" collapsed="false">
      <c r="A3" s="529"/>
      <c r="B3" s="530"/>
      <c r="C3" s="531" t="s">
        <v>365</v>
      </c>
      <c r="D3" s="531"/>
      <c r="E3" s="532" t="n">
        <v>0.02</v>
      </c>
      <c r="F3" s="533" t="s">
        <v>366</v>
      </c>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4"/>
      <c r="AJ3" s="534"/>
      <c r="AK3" s="534"/>
      <c r="AL3" s="534"/>
      <c r="AM3" s="534"/>
      <c r="AN3" s="534"/>
      <c r="AO3" s="534"/>
      <c r="AP3" s="534"/>
      <c r="AQ3" s="534"/>
      <c r="AR3" s="534"/>
      <c r="AS3" s="534"/>
      <c r="AT3" s="534"/>
      <c r="AU3" s="534"/>
      <c r="AV3" s="534"/>
      <c r="AW3" s="534"/>
      <c r="AX3" s="534"/>
      <c r="AY3" s="534"/>
      <c r="AZ3" s="534"/>
      <c r="BA3" s="534"/>
      <c r="BB3" s="534"/>
      <c r="BC3" s="534"/>
      <c r="BD3" s="534"/>
      <c r="BE3" s="534"/>
      <c r="BF3" s="534"/>
      <c r="BG3" s="534"/>
      <c r="BH3" s="534"/>
      <c r="BI3" s="534"/>
      <c r="BJ3" s="534"/>
      <c r="BK3" s="534"/>
      <c r="BL3" s="534"/>
      <c r="BM3" s="534"/>
      <c r="BN3" s="534"/>
      <c r="BO3" s="534"/>
      <c r="BP3" s="534"/>
      <c r="BQ3" s="534"/>
      <c r="BR3" s="534"/>
      <c r="BS3" s="534"/>
      <c r="BT3" s="534"/>
      <c r="BU3" s="534"/>
      <c r="BV3" s="534"/>
      <c r="BW3" s="534"/>
      <c r="BX3" s="534"/>
      <c r="BY3" s="534"/>
      <c r="BZ3" s="534"/>
      <c r="CA3" s="534"/>
      <c r="CB3" s="534"/>
      <c r="CC3" s="534"/>
      <c r="CD3" s="534"/>
      <c r="CE3" s="534"/>
      <c r="CF3" s="534"/>
      <c r="CG3" s="534"/>
      <c r="CH3" s="534"/>
      <c r="CI3" s="534"/>
      <c r="CJ3" s="534"/>
      <c r="CK3" s="534"/>
      <c r="CL3" s="534"/>
      <c r="CM3" s="534"/>
      <c r="CN3" s="534"/>
      <c r="CO3" s="534"/>
      <c r="CP3" s="534"/>
      <c r="CQ3" s="534"/>
      <c r="CR3" s="534"/>
      <c r="CS3" s="534"/>
      <c r="CT3" s="534"/>
      <c r="CU3" s="534"/>
      <c r="CV3" s="534"/>
      <c r="CW3" s="534"/>
      <c r="CX3" s="534"/>
      <c r="CY3" s="534"/>
      <c r="CZ3" s="534"/>
      <c r="DA3" s="534"/>
      <c r="DB3" s="534"/>
      <c r="DC3" s="534"/>
      <c r="DD3" s="534"/>
      <c r="DE3" s="534"/>
      <c r="DF3" s="534"/>
      <c r="DG3" s="534"/>
      <c r="DH3" s="534"/>
      <c r="DI3" s="534"/>
      <c r="DJ3" s="534"/>
      <c r="DK3" s="534"/>
      <c r="DL3" s="534"/>
      <c r="DM3" s="534"/>
      <c r="DN3" s="534"/>
      <c r="DO3" s="534"/>
      <c r="DP3" s="534"/>
      <c r="DQ3" s="534"/>
      <c r="DR3" s="534"/>
      <c r="DS3" s="534"/>
      <c r="DT3" s="534"/>
      <c r="DU3" s="534"/>
      <c r="DV3" s="534"/>
      <c r="DW3" s="534"/>
      <c r="DX3" s="534"/>
      <c r="DY3" s="534"/>
      <c r="DZ3" s="534"/>
      <c r="EA3" s="534"/>
      <c r="EB3" s="534"/>
      <c r="EC3" s="534"/>
      <c r="ED3" s="534"/>
      <c r="EE3" s="534"/>
      <c r="EF3" s="534"/>
      <c r="EG3" s="534"/>
      <c r="EH3" s="534"/>
      <c r="EI3" s="534"/>
      <c r="EJ3" s="534"/>
      <c r="EK3" s="534"/>
      <c r="EL3" s="534"/>
      <c r="EM3" s="534"/>
      <c r="EN3" s="534"/>
      <c r="EO3" s="534"/>
      <c r="EP3" s="534"/>
      <c r="EQ3" s="534"/>
      <c r="ER3" s="534"/>
      <c r="ES3" s="534"/>
      <c r="ET3" s="534"/>
      <c r="EU3" s="534"/>
      <c r="EV3" s="534"/>
      <c r="EW3" s="534"/>
      <c r="EX3" s="534"/>
      <c r="EY3" s="534"/>
      <c r="EZ3" s="534"/>
      <c r="FA3" s="534"/>
      <c r="FB3" s="534"/>
      <c r="FC3" s="534"/>
      <c r="FD3" s="534"/>
      <c r="FE3" s="534"/>
      <c r="FF3" s="534"/>
      <c r="FG3" s="534"/>
      <c r="FH3" s="534"/>
      <c r="FI3" s="534"/>
      <c r="FJ3" s="534"/>
      <c r="FK3" s="534"/>
      <c r="FL3" s="534"/>
      <c r="FM3" s="534"/>
      <c r="FN3" s="534"/>
      <c r="FO3" s="534"/>
      <c r="FP3" s="534"/>
      <c r="FQ3" s="534"/>
      <c r="FR3" s="534"/>
      <c r="FS3" s="534"/>
      <c r="FT3" s="534"/>
      <c r="FU3" s="534"/>
      <c r="FV3" s="534"/>
      <c r="FW3" s="534"/>
      <c r="FX3" s="534"/>
      <c r="FY3" s="534"/>
      <c r="FZ3" s="534"/>
      <c r="GA3" s="534"/>
      <c r="GB3" s="534"/>
      <c r="GC3" s="534"/>
      <c r="GD3" s="534"/>
      <c r="GE3" s="534"/>
      <c r="GF3" s="534"/>
      <c r="GG3" s="534"/>
      <c r="GH3" s="534"/>
      <c r="GI3" s="534"/>
      <c r="GJ3" s="534"/>
      <c r="GK3" s="534"/>
      <c r="GL3" s="534"/>
      <c r="GM3" s="534"/>
      <c r="GN3" s="534"/>
      <c r="GO3" s="534"/>
      <c r="GP3" s="534"/>
      <c r="GQ3" s="534"/>
      <c r="GR3" s="534"/>
      <c r="GS3" s="534"/>
      <c r="GT3" s="534"/>
      <c r="GU3" s="534"/>
      <c r="GV3" s="534"/>
      <c r="GW3" s="534"/>
      <c r="GX3" s="534"/>
      <c r="GY3" s="534"/>
      <c r="GZ3" s="534"/>
      <c r="HA3" s="534"/>
      <c r="HB3" s="534"/>
      <c r="HC3" s="534"/>
      <c r="HD3" s="534"/>
      <c r="HE3" s="534"/>
      <c r="HF3" s="534"/>
      <c r="HG3" s="534"/>
      <c r="HH3" s="534"/>
      <c r="HI3" s="534"/>
      <c r="HJ3" s="534"/>
      <c r="HK3" s="534"/>
      <c r="HL3" s="534"/>
      <c r="HM3" s="534"/>
      <c r="HN3" s="534"/>
      <c r="HO3" s="534"/>
      <c r="HP3" s="534"/>
      <c r="HQ3" s="534"/>
      <c r="HR3" s="534"/>
      <c r="HS3" s="534"/>
      <c r="HT3" s="534"/>
      <c r="HU3" s="534"/>
      <c r="HV3" s="534"/>
      <c r="HW3" s="534"/>
      <c r="HX3" s="534"/>
      <c r="HY3" s="534"/>
      <c r="HZ3" s="534"/>
      <c r="IA3" s="534"/>
      <c r="IB3" s="534"/>
      <c r="IC3" s="534"/>
      <c r="ID3" s="534"/>
      <c r="IE3" s="534"/>
      <c r="IF3" s="534"/>
      <c r="IG3" s="534"/>
      <c r="IH3" s="534"/>
      <c r="II3" s="534"/>
      <c r="IJ3" s="534"/>
      <c r="IK3" s="534"/>
      <c r="IL3" s="534"/>
      <c r="IM3" s="534"/>
      <c r="IN3" s="534"/>
      <c r="IO3" s="534"/>
      <c r="IP3" s="534"/>
      <c r="IQ3" s="534"/>
      <c r="IR3" s="534"/>
      <c r="IS3" s="534"/>
      <c r="IT3" s="534"/>
      <c r="IU3" s="534"/>
      <c r="IV3" s="534"/>
      <c r="IW3" s="534"/>
    </row>
    <row r="4" customFormat="false" ht="30" hidden="false" customHeight="true" outlineLevel="0" collapsed="false">
      <c r="A4" s="535" t="s">
        <v>367</v>
      </c>
      <c r="B4" s="535" t="s">
        <v>368</v>
      </c>
      <c r="C4" s="535" t="s">
        <v>369</v>
      </c>
      <c r="D4" s="535" t="s">
        <v>370</v>
      </c>
      <c r="E4" s="536" t="s">
        <v>371</v>
      </c>
      <c r="F4" s="537" t="s">
        <v>372</v>
      </c>
      <c r="G4" s="538"/>
      <c r="H4" s="538"/>
      <c r="I4" s="538"/>
      <c r="J4" s="538"/>
      <c r="K4" s="538"/>
      <c r="L4" s="538"/>
      <c r="M4" s="538"/>
      <c r="N4" s="538"/>
      <c r="O4" s="538"/>
      <c r="P4" s="538"/>
      <c r="Q4" s="538"/>
      <c r="R4" s="538"/>
      <c r="S4" s="538"/>
      <c r="T4" s="538"/>
      <c r="U4" s="538"/>
      <c r="V4" s="538"/>
      <c r="W4" s="538"/>
      <c r="X4" s="538"/>
      <c r="Y4" s="538"/>
      <c r="Z4" s="538"/>
      <c r="AA4" s="538"/>
      <c r="AB4" s="538"/>
      <c r="AC4" s="538"/>
      <c r="AD4" s="538"/>
      <c r="AE4" s="538"/>
      <c r="AF4" s="538"/>
      <c r="AG4" s="538"/>
      <c r="AH4" s="538"/>
      <c r="AI4" s="538"/>
      <c r="AJ4" s="538"/>
      <c r="AK4" s="538"/>
      <c r="AL4" s="538"/>
      <c r="AM4" s="538"/>
      <c r="AN4" s="538"/>
      <c r="AO4" s="538"/>
      <c r="AP4" s="538"/>
      <c r="AQ4" s="538"/>
      <c r="AR4" s="538"/>
      <c r="AS4" s="538"/>
      <c r="AT4" s="538"/>
      <c r="AU4" s="538"/>
      <c r="AV4" s="538"/>
      <c r="AW4" s="538"/>
      <c r="AX4" s="538"/>
      <c r="AY4" s="538"/>
      <c r="AZ4" s="538"/>
      <c r="BA4" s="538"/>
      <c r="BB4" s="538"/>
      <c r="BC4" s="538"/>
      <c r="BD4" s="538"/>
      <c r="BE4" s="538"/>
      <c r="BF4" s="538"/>
      <c r="BG4" s="538"/>
      <c r="BH4" s="538"/>
      <c r="BI4" s="538"/>
      <c r="BJ4" s="538"/>
      <c r="BK4" s="538"/>
      <c r="BL4" s="538"/>
      <c r="BM4" s="538"/>
      <c r="BN4" s="538"/>
      <c r="BO4" s="538"/>
      <c r="BP4" s="538"/>
      <c r="BQ4" s="538"/>
      <c r="BR4" s="538"/>
      <c r="BS4" s="538"/>
      <c r="BT4" s="538"/>
      <c r="BU4" s="538"/>
      <c r="BV4" s="538"/>
      <c r="BW4" s="538"/>
      <c r="BX4" s="538"/>
      <c r="BY4" s="538"/>
      <c r="BZ4" s="538"/>
      <c r="CA4" s="538"/>
      <c r="CB4" s="538"/>
      <c r="CC4" s="538"/>
      <c r="CD4" s="538"/>
      <c r="CE4" s="538"/>
      <c r="CF4" s="538"/>
      <c r="CG4" s="538"/>
      <c r="CH4" s="538"/>
      <c r="CI4" s="538"/>
      <c r="CJ4" s="538"/>
      <c r="CK4" s="538"/>
      <c r="CL4" s="538"/>
      <c r="CM4" s="538"/>
      <c r="CN4" s="538"/>
      <c r="CO4" s="538"/>
      <c r="CP4" s="538"/>
      <c r="CQ4" s="538"/>
      <c r="CR4" s="538"/>
      <c r="CS4" s="538"/>
      <c r="CT4" s="538"/>
      <c r="CU4" s="538"/>
      <c r="CV4" s="538"/>
      <c r="CW4" s="538"/>
      <c r="CX4" s="538"/>
      <c r="CY4" s="538"/>
      <c r="CZ4" s="538"/>
      <c r="DA4" s="538"/>
      <c r="DB4" s="538"/>
      <c r="DC4" s="538"/>
      <c r="DD4" s="538"/>
      <c r="DE4" s="538"/>
      <c r="DF4" s="538"/>
      <c r="DG4" s="538"/>
      <c r="DH4" s="538"/>
      <c r="DI4" s="538"/>
      <c r="DJ4" s="538"/>
      <c r="DK4" s="538"/>
      <c r="DL4" s="538"/>
      <c r="DM4" s="538"/>
      <c r="DN4" s="538"/>
      <c r="DO4" s="538"/>
      <c r="DP4" s="538"/>
      <c r="DQ4" s="538"/>
      <c r="DR4" s="538"/>
      <c r="DS4" s="538"/>
      <c r="DT4" s="538"/>
      <c r="DU4" s="538"/>
      <c r="DV4" s="538"/>
      <c r="DW4" s="538"/>
      <c r="DX4" s="538"/>
      <c r="DY4" s="538"/>
      <c r="DZ4" s="538"/>
      <c r="EA4" s="538"/>
      <c r="EB4" s="538"/>
      <c r="EC4" s="538"/>
      <c r="ED4" s="538"/>
      <c r="EE4" s="538"/>
      <c r="EF4" s="538"/>
      <c r="EG4" s="538"/>
      <c r="EH4" s="538"/>
      <c r="EI4" s="538"/>
      <c r="EJ4" s="538"/>
      <c r="EK4" s="538"/>
      <c r="EL4" s="538"/>
      <c r="EM4" s="538"/>
      <c r="EN4" s="538"/>
      <c r="EO4" s="538"/>
      <c r="EP4" s="538"/>
      <c r="EQ4" s="538"/>
      <c r="ER4" s="538"/>
      <c r="ES4" s="538"/>
      <c r="ET4" s="538"/>
      <c r="EU4" s="538"/>
      <c r="EV4" s="538"/>
      <c r="EW4" s="538"/>
      <c r="EX4" s="538"/>
      <c r="EY4" s="538"/>
      <c r="EZ4" s="538"/>
      <c r="FA4" s="538"/>
      <c r="FB4" s="538"/>
      <c r="FC4" s="538"/>
      <c r="FD4" s="538"/>
      <c r="FE4" s="538"/>
      <c r="FF4" s="538"/>
      <c r="FG4" s="538"/>
      <c r="FH4" s="538"/>
      <c r="FI4" s="538"/>
      <c r="FJ4" s="538"/>
      <c r="FK4" s="538"/>
      <c r="FL4" s="538"/>
      <c r="FM4" s="538"/>
      <c r="FN4" s="538"/>
      <c r="FO4" s="538"/>
      <c r="FP4" s="538"/>
      <c r="FQ4" s="538"/>
      <c r="FR4" s="538"/>
      <c r="FS4" s="538"/>
      <c r="FT4" s="538"/>
      <c r="FU4" s="538"/>
      <c r="FV4" s="538"/>
      <c r="FW4" s="538"/>
      <c r="FX4" s="538"/>
      <c r="FY4" s="538"/>
      <c r="FZ4" s="538"/>
      <c r="GA4" s="538"/>
      <c r="GB4" s="538"/>
      <c r="GC4" s="538"/>
      <c r="GD4" s="538"/>
      <c r="GE4" s="538"/>
      <c r="GF4" s="538"/>
      <c r="GG4" s="538"/>
      <c r="GH4" s="538"/>
      <c r="GI4" s="538"/>
      <c r="GJ4" s="538"/>
      <c r="GK4" s="538"/>
      <c r="GL4" s="538"/>
      <c r="GM4" s="538"/>
      <c r="GN4" s="538"/>
      <c r="GO4" s="538"/>
      <c r="GP4" s="538"/>
      <c r="GQ4" s="538"/>
      <c r="GR4" s="538"/>
      <c r="GS4" s="538"/>
      <c r="GT4" s="538"/>
      <c r="GU4" s="538"/>
      <c r="GV4" s="538"/>
      <c r="GW4" s="538"/>
      <c r="GX4" s="538"/>
      <c r="GY4" s="538"/>
      <c r="GZ4" s="538"/>
      <c r="HA4" s="538"/>
      <c r="HB4" s="538"/>
      <c r="HC4" s="538"/>
      <c r="HD4" s="538"/>
      <c r="HE4" s="538"/>
      <c r="HF4" s="538"/>
      <c r="HG4" s="538"/>
      <c r="HH4" s="538"/>
      <c r="HI4" s="538"/>
      <c r="HJ4" s="538"/>
      <c r="HK4" s="538"/>
      <c r="HL4" s="538"/>
      <c r="HM4" s="538"/>
      <c r="HN4" s="538"/>
      <c r="HO4" s="538"/>
      <c r="HP4" s="538"/>
      <c r="HQ4" s="538"/>
      <c r="HR4" s="538"/>
      <c r="HS4" s="538"/>
      <c r="HT4" s="538"/>
      <c r="HU4" s="538"/>
      <c r="HV4" s="538"/>
      <c r="HW4" s="538"/>
      <c r="HX4" s="538"/>
      <c r="HY4" s="538"/>
      <c r="HZ4" s="538"/>
      <c r="IA4" s="538"/>
      <c r="IB4" s="538"/>
      <c r="IC4" s="538"/>
      <c r="ID4" s="538"/>
      <c r="IE4" s="538"/>
      <c r="IF4" s="538"/>
      <c r="IG4" s="538"/>
      <c r="IH4" s="538"/>
      <c r="II4" s="538"/>
      <c r="IJ4" s="538"/>
      <c r="IK4" s="538"/>
      <c r="IL4" s="538"/>
      <c r="IM4" s="538"/>
      <c r="IN4" s="538"/>
      <c r="IO4" s="538"/>
      <c r="IP4" s="538"/>
      <c r="IQ4" s="538"/>
      <c r="IR4" s="538"/>
      <c r="IS4" s="538"/>
      <c r="IT4" s="538"/>
      <c r="IU4" s="538"/>
      <c r="IV4" s="538"/>
      <c r="IW4" s="538"/>
    </row>
    <row r="5" customFormat="false" ht="24" hidden="false" customHeight="true" outlineLevel="0" collapsed="false">
      <c r="A5" s="539" t="n">
        <v>1</v>
      </c>
      <c r="B5" s="540" t="n">
        <f aca="false">E2*((E3*(POWER((1+E3),5)))/((POWER((1+E3),5))-1))</f>
        <v>0</v>
      </c>
      <c r="C5" s="540" t="n">
        <f aca="false">E2*E3</f>
        <v>0</v>
      </c>
      <c r="D5" s="540" t="n">
        <f aca="false">B5-C5</f>
        <v>0</v>
      </c>
      <c r="E5" s="541" t="n">
        <f aca="false">E2-D5</f>
        <v>0</v>
      </c>
      <c r="F5" s="542" t="s">
        <v>373</v>
      </c>
    </row>
    <row r="6" customFormat="false" ht="24" hidden="false" customHeight="true" outlineLevel="0" collapsed="false">
      <c r="A6" s="535" t="n">
        <v>2</v>
      </c>
      <c r="B6" s="543" t="n">
        <f aca="false">E2*((E3*(POWER((1+E3),5)))/((POWER((1+E3),5))-1))</f>
        <v>0</v>
      </c>
      <c r="C6" s="543" t="n">
        <f aca="false">E5*E3</f>
        <v>0</v>
      </c>
      <c r="D6" s="543" t="n">
        <f aca="false">B6-C6</f>
        <v>0</v>
      </c>
      <c r="E6" s="544" t="n">
        <f aca="false">E5-D6</f>
        <v>0</v>
      </c>
      <c r="F6" s="542"/>
    </row>
    <row r="7" customFormat="false" ht="24" hidden="false" customHeight="true" outlineLevel="0" collapsed="false">
      <c r="A7" s="539" t="n">
        <v>3</v>
      </c>
      <c r="B7" s="540" t="n">
        <f aca="false">E2*((E3*(POWER((1+E3),5)))/((POWER((1+E3),5))-1))</f>
        <v>0</v>
      </c>
      <c r="C7" s="540" t="n">
        <f aca="false">E6*E3</f>
        <v>0</v>
      </c>
      <c r="D7" s="540" t="n">
        <f aca="false">B7-C7</f>
        <v>0</v>
      </c>
      <c r="E7" s="541" t="n">
        <f aca="false">E6-D7</f>
        <v>0</v>
      </c>
      <c r="F7" s="542"/>
    </row>
    <row r="8" customFormat="false" ht="24" hidden="false" customHeight="true" outlineLevel="0" collapsed="false">
      <c r="A8" s="539" t="n">
        <v>4</v>
      </c>
      <c r="B8" s="540" t="n">
        <f aca="false">E2*((E3*(POWER((1+E3),5)))/((POWER((1+E3),5))-1))</f>
        <v>0</v>
      </c>
      <c r="C8" s="540" t="n">
        <f aca="false">E7*E3</f>
        <v>0</v>
      </c>
      <c r="D8" s="540" t="n">
        <f aca="false">B8-C8</f>
        <v>0</v>
      </c>
      <c r="E8" s="541" t="n">
        <f aca="false">E7-D8</f>
        <v>0</v>
      </c>
      <c r="F8" s="542"/>
    </row>
    <row r="9" customFormat="false" ht="24" hidden="false" customHeight="true" outlineLevel="0" collapsed="false">
      <c r="A9" s="539" t="n">
        <v>5</v>
      </c>
      <c r="B9" s="540" t="n">
        <f aca="false">E2*((E3*(POWER((1+E3),5)))/((POWER((1+E3),5))-1))</f>
        <v>0</v>
      </c>
      <c r="C9" s="540" t="n">
        <f aca="false">E8*E3</f>
        <v>0</v>
      </c>
      <c r="D9" s="540" t="n">
        <f aca="false">B9-C9</f>
        <v>0</v>
      </c>
      <c r="E9" s="541" t="n">
        <f aca="false">E8-D9</f>
        <v>0</v>
      </c>
      <c r="F9" s="542"/>
      <c r="I9" s="545"/>
    </row>
    <row r="10" customFormat="false" ht="30" hidden="false" customHeight="true" outlineLevel="0" collapsed="false">
      <c r="A10" s="546"/>
      <c r="B10" s="534"/>
      <c r="C10" s="534"/>
      <c r="D10" s="534"/>
      <c r="E10" s="534"/>
      <c r="F10" s="547"/>
    </row>
    <row r="11" customFormat="false" ht="30" hidden="false" customHeight="true" outlineLevel="0" collapsed="false">
      <c r="A11" s="546"/>
      <c r="B11" s="548" t="n">
        <f aca="false">B5+B6+B7+B8+B9</f>
        <v>0</v>
      </c>
      <c r="C11" s="549" t="s">
        <v>374</v>
      </c>
      <c r="D11" s="534" t="s">
        <v>375</v>
      </c>
      <c r="E11" s="530" t="s">
        <v>376</v>
      </c>
      <c r="F11" s="550" t="n">
        <f aca="false">(B11*1.1)</f>
        <v>0</v>
      </c>
    </row>
    <row r="12" customFormat="false" ht="30" hidden="false" customHeight="true" outlineLevel="0" collapsed="false">
      <c r="A12" s="546"/>
      <c r="B12" s="534"/>
      <c r="C12" s="534"/>
      <c r="D12" s="534" t="s">
        <v>377</v>
      </c>
      <c r="E12" s="534"/>
      <c r="F12" s="551"/>
    </row>
    <row r="13" customFormat="false" ht="30" hidden="false" customHeight="true" outlineLevel="0" collapsed="false">
      <c r="A13" s="552"/>
      <c r="B13" s="534"/>
      <c r="C13" s="553" t="n">
        <f aca="false">B2/6</f>
        <v>0</v>
      </c>
      <c r="D13" s="554" t="s">
        <v>378</v>
      </c>
      <c r="E13" s="554"/>
      <c r="F13" s="551"/>
    </row>
    <row r="14" customFormat="false" ht="30" hidden="false" customHeight="true" outlineLevel="0" collapsed="false">
      <c r="A14" s="555" t="s">
        <v>379</v>
      </c>
      <c r="B14" s="556"/>
      <c r="C14" s="556"/>
      <c r="D14" s="556"/>
      <c r="E14" s="556"/>
      <c r="F14" s="557"/>
    </row>
    <row r="65525" customFormat="false" ht="12.75" hidden="false" customHeight="true" outlineLevel="0" collapsed="false"/>
    <row r="65526" customFormat="false" ht="12.75" hidden="false" customHeight="true" outlineLevel="0" collapsed="false"/>
    <row r="65527" customFormat="false" ht="12.75" hidden="false" customHeight="true" outlineLevel="0" collapsed="false"/>
    <row r="65528" customFormat="false" ht="12.75" hidden="false" customHeight="true" outlineLevel="0" collapsed="false"/>
    <row r="65529" customFormat="false" ht="12.75" hidden="false" customHeight="true" outlineLevel="0" collapsed="false"/>
    <row r="65530" customFormat="false" ht="12.75" hidden="false" customHeight="true" outlineLevel="0" collapsed="false"/>
    <row r="65531" customFormat="false" ht="12.75" hidden="false" customHeight="true" outlineLevel="0" collapsed="false"/>
    <row r="65532" customFormat="false" ht="12.75" hidden="false" customHeight="true" outlineLevel="0" collapsed="false"/>
    <row r="65533" customFormat="false" ht="12.75" hidden="false" customHeight="true" outlineLevel="0" collapsed="false"/>
    <row r="65534" customFormat="false" ht="12.75" hidden="false" customHeight="true" outlineLevel="0" collapsed="false"/>
    <row r="65535" customFormat="false" ht="12.75" hidden="false" customHeight="true" outlineLevel="0" collapsed="false"/>
    <row r="65536" customFormat="false" ht="12.75" hidden="false" customHeight="true" outlineLevel="0" collapsed="false"/>
  </sheetData>
  <sheetProtection sheet="true" password="b476" objects="true" scenarios="true"/>
  <mergeCells count="4">
    <mergeCell ref="A1:F1"/>
    <mergeCell ref="C3:D3"/>
    <mergeCell ref="F5:F9"/>
    <mergeCell ref="D13:E13"/>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Roman,Normale"&amp;12&amp;A</oddHeader>
    <oddFooter>&amp;C&amp;"Times New Roman,Normale"&amp;12Pagina &amp;P</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2"/>
  <sheetViews>
    <sheetView showFormulas="false" showGridLines="true" showRowColHeaders="true" showZeros="true" rightToLeft="false" tabSelected="false" showOutlineSymbols="true" defaultGridColor="true" view="normal" topLeftCell="A1" colorId="64" zoomScale="82" zoomScaleNormal="82" zoomScalePageLayoutView="100" workbookViewId="0">
      <selection pane="topLeft" activeCell="D7" activeCellId="0" sqref="D7"/>
    </sheetView>
  </sheetViews>
  <sheetFormatPr defaultColWidth="8.625" defaultRowHeight="12.75" zeroHeight="false" outlineLevelRow="0" outlineLevelCol="0"/>
  <cols>
    <col collapsed="false" customWidth="true" hidden="false" outlineLevel="0" max="1" min="1" style="1" width="28.48"/>
    <col collapsed="false" customWidth="true" hidden="false" outlineLevel="0" max="2" min="2" style="1" width="18.49"/>
    <col collapsed="false" customWidth="true" hidden="false" outlineLevel="0" max="3" min="3" style="1" width="25.51"/>
    <col collapsed="false" customWidth="true" hidden="false" outlineLevel="0" max="4" min="4" style="1" width="18.49"/>
    <col collapsed="false" customWidth="true" hidden="false" outlineLevel="0" max="5" min="5" style="1" width="25.51"/>
    <col collapsed="false" customWidth="true" hidden="false" outlineLevel="0" max="6" min="6" style="1" width="18.49"/>
    <col collapsed="false" customWidth="true" hidden="false" outlineLevel="0" max="8" min="8" style="1" width="16.96"/>
  </cols>
  <sheetData>
    <row r="1" customFormat="false" ht="18" hidden="false" customHeight="true" outlineLevel="0" collapsed="false">
      <c r="A1" s="4" t="s">
        <v>23</v>
      </c>
      <c r="B1" s="4"/>
      <c r="C1" s="4"/>
      <c r="D1" s="4"/>
      <c r="E1" s="4"/>
      <c r="F1" s="4"/>
    </row>
    <row r="2" customFormat="false" ht="15.75" hidden="false" customHeight="true" outlineLevel="0" collapsed="false">
      <c r="A2" s="23" t="s">
        <v>51</v>
      </c>
      <c r="B2" s="23"/>
      <c r="C2" s="23"/>
      <c r="D2" s="23"/>
      <c r="E2" s="23"/>
      <c r="F2" s="23"/>
    </row>
    <row r="3" customFormat="false" ht="14.7" hidden="false" customHeight="true" outlineLevel="0" collapsed="false">
      <c r="A3" s="10" t="s">
        <v>25</v>
      </c>
      <c r="B3" s="11" t="n">
        <f aca="false">'A - RIFERIMENTO'!I8</f>
        <v>19.18208</v>
      </c>
      <c r="C3" s="8" t="s">
        <v>26</v>
      </c>
      <c r="D3" s="11" t="n">
        <f aca="false">'A - RIFERIMENTO'!I9</f>
        <v>17.5768</v>
      </c>
      <c r="E3" s="8" t="s">
        <v>27</v>
      </c>
      <c r="F3" s="16" t="n">
        <f aca="false">(B3+D3)</f>
        <v>36.75888</v>
      </c>
    </row>
    <row r="4" customFormat="false" ht="10.5" hidden="false" customHeight="true" outlineLevel="0" collapsed="false">
      <c r="A4" s="39"/>
      <c r="B4" s="40"/>
      <c r="C4" s="40"/>
      <c r="D4" s="27" t="s">
        <v>28</v>
      </c>
      <c r="E4" s="27"/>
      <c r="F4" s="28" t="n">
        <v>0.016</v>
      </c>
    </row>
    <row r="5" customFormat="false" ht="12.75" hidden="false" customHeight="true" outlineLevel="0" collapsed="false">
      <c r="A5" s="14"/>
      <c r="B5" s="14"/>
      <c r="C5" s="14"/>
      <c r="D5" s="14"/>
      <c r="E5" s="14"/>
      <c r="F5" s="12" t="s">
        <v>7</v>
      </c>
    </row>
    <row r="6" customFormat="false" ht="15" hidden="false" customHeight="true" outlineLevel="0" collapsed="false">
      <c r="A6" s="29"/>
      <c r="B6" s="30" t="s">
        <v>52</v>
      </c>
      <c r="C6" s="30"/>
      <c r="D6" s="30"/>
      <c r="E6" s="31" t="s">
        <v>30</v>
      </c>
      <c r="F6" s="31"/>
    </row>
    <row r="7" customFormat="false" ht="24" hidden="false" customHeight="true" outlineLevel="0" collapsed="false">
      <c r="A7" s="10" t="s">
        <v>53</v>
      </c>
      <c r="B7" s="10" t="s">
        <v>12</v>
      </c>
      <c r="C7" s="11" t="n">
        <f aca="false">B3*0.3*1</f>
        <v>5.754624</v>
      </c>
      <c r="D7" s="11" t="n">
        <f aca="false">B3*0.45*1</f>
        <v>8.631936</v>
      </c>
      <c r="E7" s="41"/>
      <c r="F7" s="16" t="n">
        <f aca="false">C7+C8</f>
        <v>11.027664</v>
      </c>
    </row>
    <row r="8" customFormat="false" ht="24" hidden="false" customHeight="true" outlineLevel="0" collapsed="false">
      <c r="A8" s="10"/>
      <c r="B8" s="10" t="s">
        <v>14</v>
      </c>
      <c r="C8" s="11" t="n">
        <f aca="false">D3*0.3*1</f>
        <v>5.27304</v>
      </c>
      <c r="D8" s="11" t="n">
        <f aca="false">D3*0.45*1</f>
        <v>7.90956</v>
      </c>
      <c r="E8" s="41"/>
      <c r="F8" s="16" t="n">
        <f aca="false">D7+D8</f>
        <v>16.541496</v>
      </c>
    </row>
    <row r="9" customFormat="false" ht="12.75" hidden="false" customHeight="true" outlineLevel="0" collapsed="false">
      <c r="A9" s="42"/>
      <c r="B9" s="43" t="s">
        <v>54</v>
      </c>
      <c r="C9" s="43"/>
      <c r="D9" s="43"/>
      <c r="E9" s="43"/>
      <c r="F9" s="43"/>
    </row>
    <row r="10" customFormat="false" ht="15" hidden="false" customHeight="true" outlineLevel="0" collapsed="false">
      <c r="A10" s="29"/>
      <c r="B10" s="30" t="s">
        <v>52</v>
      </c>
      <c r="C10" s="30"/>
      <c r="D10" s="30"/>
      <c r="E10" s="31" t="s">
        <v>30</v>
      </c>
      <c r="F10" s="31"/>
    </row>
    <row r="11" customFormat="false" ht="24" hidden="false" customHeight="true" outlineLevel="0" collapsed="false">
      <c r="A11" s="10" t="s">
        <v>33</v>
      </c>
      <c r="B11" s="10" t="s">
        <v>12</v>
      </c>
      <c r="C11" s="11" t="n">
        <f aca="false">B3*0.3*1</f>
        <v>5.754624</v>
      </c>
      <c r="D11" s="11" t="n">
        <f aca="false">B3*0.45*1</f>
        <v>8.631936</v>
      </c>
      <c r="E11" s="41"/>
      <c r="F11" s="16" t="n">
        <f aca="false">C11+C12</f>
        <v>11.027664</v>
      </c>
    </row>
    <row r="12" customFormat="false" ht="24" hidden="false" customHeight="true" outlineLevel="0" collapsed="false">
      <c r="A12" s="10"/>
      <c r="B12" s="10" t="s">
        <v>14</v>
      </c>
      <c r="C12" s="11" t="n">
        <f aca="false">D3*0.3*1</f>
        <v>5.27304</v>
      </c>
      <c r="D12" s="11" t="n">
        <f aca="false">D3*0.45*1</f>
        <v>7.90956</v>
      </c>
      <c r="E12" s="41"/>
      <c r="F12" s="16" t="n">
        <f aca="false">D11+D12</f>
        <v>16.541496</v>
      </c>
    </row>
    <row r="13" customFormat="false" ht="12.75" hidden="false" customHeight="true" outlineLevel="0" collapsed="false">
      <c r="A13" s="42"/>
      <c r="B13" s="43" t="s">
        <v>54</v>
      </c>
      <c r="C13" s="43"/>
      <c r="D13" s="43"/>
      <c r="E13" s="43"/>
      <c r="F13" s="43"/>
    </row>
    <row r="14" customFormat="false" ht="15" hidden="false" customHeight="true" outlineLevel="0" collapsed="false">
      <c r="A14" s="29"/>
      <c r="B14" s="30" t="s">
        <v>55</v>
      </c>
      <c r="C14" s="30"/>
      <c r="D14" s="30"/>
      <c r="E14" s="31" t="s">
        <v>56</v>
      </c>
      <c r="F14" s="31"/>
    </row>
    <row r="15" customFormat="false" ht="24" hidden="false" customHeight="true" outlineLevel="0" collapsed="false">
      <c r="A15" s="33" t="s">
        <v>35</v>
      </c>
      <c r="B15" s="33" t="s">
        <v>12</v>
      </c>
      <c r="C15" s="19" t="n">
        <f aca="false">B3*1.2*1.1</f>
        <v>25.3203456</v>
      </c>
      <c r="D15" s="19"/>
      <c r="E15" s="44"/>
      <c r="F15" s="19" t="n">
        <f aca="false">C15+C16</f>
        <v>48.5217216</v>
      </c>
    </row>
    <row r="16" customFormat="false" ht="24" hidden="false" customHeight="true" outlineLevel="0" collapsed="false">
      <c r="A16" s="33"/>
      <c r="B16" s="33" t="s">
        <v>14</v>
      </c>
      <c r="C16" s="19" t="n">
        <f aca="false">D3*1.2*1.1</f>
        <v>23.201376</v>
      </c>
      <c r="D16" s="19"/>
      <c r="E16" s="44"/>
      <c r="F16" s="19"/>
    </row>
    <row r="17" customFormat="false" ht="15" hidden="false" customHeight="true" outlineLevel="0" collapsed="false">
      <c r="A17" s="29"/>
      <c r="B17" s="30" t="s">
        <v>57</v>
      </c>
      <c r="C17" s="30"/>
      <c r="D17" s="30"/>
      <c r="E17" s="31"/>
      <c r="F17" s="31"/>
    </row>
    <row r="18" customFormat="false" ht="24" hidden="false" customHeight="true" outlineLevel="0" collapsed="false">
      <c r="A18" s="33" t="s">
        <v>58</v>
      </c>
      <c r="B18" s="33" t="s">
        <v>12</v>
      </c>
      <c r="C18" s="19" t="n">
        <f aca="false">C24/4</f>
        <v>7.4810112</v>
      </c>
      <c r="D18" s="19"/>
      <c r="E18" s="44"/>
      <c r="F18" s="19" t="n">
        <f aca="false">C18+C19</f>
        <v>14.3359632</v>
      </c>
    </row>
    <row r="19" customFormat="false" ht="24" hidden="false" customHeight="true" outlineLevel="0" collapsed="false">
      <c r="A19" s="33"/>
      <c r="B19" s="33" t="s">
        <v>14</v>
      </c>
      <c r="C19" s="19" t="n">
        <f aca="false">C25/4</f>
        <v>6.854952</v>
      </c>
      <c r="D19" s="19"/>
      <c r="E19" s="44"/>
      <c r="F19" s="19"/>
    </row>
    <row r="20" customFormat="false" ht="15" hidden="false" customHeight="true" outlineLevel="0" collapsed="false">
      <c r="A20" s="29"/>
      <c r="B20" s="30" t="s">
        <v>59</v>
      </c>
      <c r="C20" s="30"/>
      <c r="D20" s="30"/>
      <c r="E20" s="31" t="s">
        <v>40</v>
      </c>
      <c r="F20" s="31"/>
    </row>
    <row r="21" customFormat="false" ht="24" hidden="false" customHeight="true" outlineLevel="0" collapsed="false">
      <c r="A21" s="10" t="s">
        <v>60</v>
      </c>
      <c r="B21" s="10" t="s">
        <v>12</v>
      </c>
      <c r="C21" s="11" t="n">
        <f aca="false">B3*0.8*1</f>
        <v>15.345664</v>
      </c>
      <c r="D21" s="41"/>
      <c r="E21" s="41"/>
      <c r="F21" s="16" t="n">
        <f aca="false">C21+C22</f>
        <v>29.407104</v>
      </c>
    </row>
    <row r="22" customFormat="false" ht="24" hidden="false" customHeight="true" outlineLevel="0" collapsed="false">
      <c r="A22" s="10"/>
      <c r="B22" s="10" t="s">
        <v>14</v>
      </c>
      <c r="C22" s="11" t="n">
        <f aca="false">D3*0.8*1</f>
        <v>14.06144</v>
      </c>
      <c r="D22" s="41"/>
      <c r="E22" s="41"/>
      <c r="F22" s="16"/>
    </row>
    <row r="23" customFormat="false" ht="15" hidden="false" customHeight="true" outlineLevel="0" collapsed="false">
      <c r="A23" s="29"/>
      <c r="B23" s="30" t="s">
        <v>61</v>
      </c>
      <c r="C23" s="30"/>
      <c r="D23" s="30"/>
      <c r="E23" s="31" t="s">
        <v>44</v>
      </c>
      <c r="F23" s="31"/>
    </row>
    <row r="24" customFormat="false" ht="24" hidden="false" customHeight="true" outlineLevel="0" collapsed="false">
      <c r="A24" s="10" t="s">
        <v>45</v>
      </c>
      <c r="B24" s="10" t="s">
        <v>12</v>
      </c>
      <c r="C24" s="11" t="n">
        <f aca="false">B3*1.2*1.3</f>
        <v>29.9240448</v>
      </c>
      <c r="D24" s="41"/>
      <c r="E24" s="41"/>
      <c r="F24" s="16" t="n">
        <f aca="false">C24+C25</f>
        <v>57.3438528</v>
      </c>
    </row>
    <row r="25" customFormat="false" ht="24" hidden="false" customHeight="true" outlineLevel="0" collapsed="false">
      <c r="A25" s="10"/>
      <c r="B25" s="10" t="s">
        <v>14</v>
      </c>
      <c r="C25" s="11" t="n">
        <f aca="false">D3*1.2*1.3</f>
        <v>27.419808</v>
      </c>
      <c r="D25" s="41"/>
      <c r="E25" s="41"/>
      <c r="F25" s="16"/>
    </row>
    <row r="26" customFormat="false" ht="15" hidden="false" customHeight="true" outlineLevel="0" collapsed="false">
      <c r="A26" s="29"/>
      <c r="B26" s="30" t="s">
        <v>62</v>
      </c>
      <c r="C26" s="30"/>
      <c r="D26" s="30"/>
      <c r="E26" s="31" t="s">
        <v>44</v>
      </c>
      <c r="F26" s="31"/>
    </row>
    <row r="27" customFormat="false" ht="24" hidden="false" customHeight="true" outlineLevel="0" collapsed="false">
      <c r="A27" s="10" t="s">
        <v>47</v>
      </c>
      <c r="B27" s="10" t="s">
        <v>12</v>
      </c>
      <c r="C27" s="11" t="n">
        <f aca="false">B3*1*1.3</f>
        <v>24.936704</v>
      </c>
      <c r="D27" s="41"/>
      <c r="E27" s="41"/>
      <c r="F27" s="16" t="n">
        <f aca="false">C27+C28</f>
        <v>47.786544</v>
      </c>
    </row>
    <row r="28" customFormat="false" ht="24" hidden="false" customHeight="true" outlineLevel="0" collapsed="false">
      <c r="A28" s="10"/>
      <c r="B28" s="10" t="s">
        <v>14</v>
      </c>
      <c r="C28" s="11" t="n">
        <f aca="false">D3*1*1.3</f>
        <v>22.84984</v>
      </c>
      <c r="D28" s="41"/>
      <c r="E28" s="41"/>
      <c r="F28" s="16"/>
    </row>
    <row r="29" customFormat="false" ht="15" hidden="false" customHeight="true" outlineLevel="0" collapsed="false">
      <c r="A29" s="29"/>
      <c r="B29" s="30" t="s">
        <v>63</v>
      </c>
      <c r="C29" s="30"/>
      <c r="D29" s="30"/>
      <c r="E29" s="31" t="s">
        <v>42</v>
      </c>
      <c r="F29" s="31"/>
    </row>
    <row r="30" customFormat="false" ht="24" hidden="false" customHeight="true" outlineLevel="0" collapsed="false">
      <c r="A30" s="10" t="s">
        <v>49</v>
      </c>
      <c r="B30" s="10" t="s">
        <v>12</v>
      </c>
      <c r="C30" s="11" t="n">
        <f aca="false">B3*0.9*1.4</f>
        <v>24.1694208</v>
      </c>
      <c r="D30" s="41"/>
      <c r="E30" s="41"/>
      <c r="F30" s="16" t="n">
        <f aca="false">C30+C31</f>
        <v>46.3161888</v>
      </c>
    </row>
    <row r="31" customFormat="false" ht="24" hidden="false" customHeight="true" outlineLevel="0" collapsed="false">
      <c r="A31" s="10"/>
      <c r="B31" s="10" t="s">
        <v>14</v>
      </c>
      <c r="C31" s="11" t="n">
        <f aca="false">D3*0.9*1.4</f>
        <v>22.146768</v>
      </c>
      <c r="D31" s="41"/>
      <c r="E31" s="41"/>
      <c r="F31" s="16"/>
    </row>
    <row r="32" customFormat="false" ht="35.4" hidden="false" customHeight="true" outlineLevel="0" collapsed="false">
      <c r="A32" s="38" t="s">
        <v>50</v>
      </c>
      <c r="B32" s="38"/>
      <c r="C32" s="38"/>
      <c r="D32" s="38"/>
      <c r="E32" s="38"/>
      <c r="F32" s="38"/>
    </row>
  </sheetData>
  <sheetProtection sheet="true" objects="true" scenarios="true"/>
  <mergeCells count="37">
    <mergeCell ref="A1:F1"/>
    <mergeCell ref="A2:F2"/>
    <mergeCell ref="D4:E4"/>
    <mergeCell ref="A5:E5"/>
    <mergeCell ref="B6:D6"/>
    <mergeCell ref="E6:F6"/>
    <mergeCell ref="A7:A8"/>
    <mergeCell ref="B9:F9"/>
    <mergeCell ref="B10:D10"/>
    <mergeCell ref="E10:F10"/>
    <mergeCell ref="A11:A12"/>
    <mergeCell ref="B13:F13"/>
    <mergeCell ref="B14:D14"/>
    <mergeCell ref="E14:F14"/>
    <mergeCell ref="A15:A16"/>
    <mergeCell ref="F15:F16"/>
    <mergeCell ref="B17:D17"/>
    <mergeCell ref="E17:F17"/>
    <mergeCell ref="A18:A19"/>
    <mergeCell ref="F18:F19"/>
    <mergeCell ref="B20:D20"/>
    <mergeCell ref="E20:F20"/>
    <mergeCell ref="A21:A22"/>
    <mergeCell ref="F21:F22"/>
    <mergeCell ref="B23:D23"/>
    <mergeCell ref="E23:F23"/>
    <mergeCell ref="A24:A25"/>
    <mergeCell ref="F24:F25"/>
    <mergeCell ref="B26:D26"/>
    <mergeCell ref="E26:F26"/>
    <mergeCell ref="A27:A28"/>
    <mergeCell ref="F27:F28"/>
    <mergeCell ref="B29:D29"/>
    <mergeCell ref="E29:F29"/>
    <mergeCell ref="A30:A31"/>
    <mergeCell ref="F30:F31"/>
    <mergeCell ref="A32:F32"/>
  </mergeCells>
  <printOptions headings="false" gridLines="false" gridLinesSet="true" horizontalCentered="true" verticalCentered="false"/>
  <pageMargins left="0.7875" right="0.7875" top="1.05277777777778" bottom="1.05277777777778" header="0.7875" footer="0.7875"/>
  <pageSetup paperSize="8" scale="105" fitToWidth="1" fitToHeight="1" pageOrder="downThenOver" orientation="landscape" blackAndWhite="false" draft="false" cellComments="none" horizontalDpi="300" verticalDpi="300" copies="1"/>
  <headerFooter differentFirst="false" differentOddEven="false">
    <oddHeader>&amp;C&amp;"Times New Roman,Normale"&amp;12&amp;A</oddHeader>
    <oddFooter>&amp;C&amp;"Times New Roman,Normale"&amp;12Pagina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33"/>
  <sheetViews>
    <sheetView showFormulas="false" showGridLines="true" showRowColHeaders="true" showZeros="true" rightToLeft="false" tabSelected="false" showOutlineSymbols="true" defaultGridColor="true" view="normal" topLeftCell="A1" colorId="64" zoomScale="82" zoomScaleNormal="82" zoomScalePageLayoutView="100" workbookViewId="0">
      <selection pane="topLeft" activeCell="F30" activeCellId="0" sqref="F30"/>
    </sheetView>
  </sheetViews>
  <sheetFormatPr defaultColWidth="8.625" defaultRowHeight="12.75" zeroHeight="false" outlineLevelRow="0" outlineLevelCol="0"/>
  <cols>
    <col collapsed="false" customWidth="true" hidden="false" outlineLevel="0" max="1" min="1" style="1" width="28.48"/>
    <col collapsed="false" customWidth="true" hidden="false" outlineLevel="0" max="2" min="2" style="1" width="18.49"/>
    <col collapsed="false" customWidth="true" hidden="false" outlineLevel="0" max="3" min="3" style="1" width="25.51"/>
    <col collapsed="false" customWidth="true" hidden="false" outlineLevel="0" max="4" min="4" style="1" width="18.49"/>
    <col collapsed="false" customWidth="true" hidden="false" outlineLevel="0" max="5" min="5" style="1" width="25.51"/>
    <col collapsed="false" customWidth="true" hidden="false" outlineLevel="0" max="6" min="6" style="1" width="18.49"/>
    <col collapsed="false" customWidth="true" hidden="false" outlineLevel="0" max="8" min="8" style="1" width="16.29"/>
  </cols>
  <sheetData>
    <row r="1" customFormat="false" ht="18" hidden="false" customHeight="true" outlineLevel="0" collapsed="false">
      <c r="A1" s="4" t="s">
        <v>23</v>
      </c>
      <c r="B1" s="4"/>
      <c r="C1" s="4"/>
      <c r="D1" s="4"/>
      <c r="E1" s="4"/>
      <c r="F1" s="4"/>
    </row>
    <row r="2" customFormat="false" ht="15.75" hidden="false" customHeight="true" outlineLevel="0" collapsed="false">
      <c r="A2" s="23" t="s">
        <v>64</v>
      </c>
      <c r="B2" s="23"/>
      <c r="C2" s="23"/>
      <c r="D2" s="23"/>
      <c r="E2" s="23"/>
      <c r="F2" s="23"/>
      <c r="H2" s="24" t="n">
        <f aca="false">1+F4</f>
        <v>1.016</v>
      </c>
      <c r="I2" s="45"/>
    </row>
    <row r="3" customFormat="false" ht="14.7" hidden="false" customHeight="true" outlineLevel="0" collapsed="false">
      <c r="A3" s="10" t="s">
        <v>25</v>
      </c>
      <c r="B3" s="11" t="n">
        <f aca="false">'A - RIFERIMENTO'!I10</f>
        <v>20.76704</v>
      </c>
      <c r="C3" s="8" t="s">
        <v>26</v>
      </c>
      <c r="D3" s="11" t="n">
        <f aca="false">'A - RIFERIMENTO'!I9</f>
        <v>17.5768</v>
      </c>
      <c r="E3" s="8" t="s">
        <v>27</v>
      </c>
      <c r="F3" s="16" t="n">
        <f aca="false">B3+D3</f>
        <v>38.34384</v>
      </c>
    </row>
    <row r="4" customFormat="false" ht="10.5" hidden="false" customHeight="true" outlineLevel="0" collapsed="false">
      <c r="A4" s="39"/>
      <c r="B4" s="40"/>
      <c r="C4" s="40"/>
      <c r="D4" s="27" t="s">
        <v>28</v>
      </c>
      <c r="E4" s="27"/>
      <c r="F4" s="28" t="n">
        <v>0.016</v>
      </c>
    </row>
    <row r="5" customFormat="false" ht="12.75" hidden="false" customHeight="true" outlineLevel="0" collapsed="false">
      <c r="A5" s="14"/>
      <c r="B5" s="14"/>
      <c r="C5" s="14"/>
      <c r="D5" s="14"/>
      <c r="E5" s="14"/>
      <c r="F5" s="12" t="s">
        <v>7</v>
      </c>
    </row>
    <row r="6" customFormat="false" ht="15" hidden="false" customHeight="true" outlineLevel="0" collapsed="false">
      <c r="A6" s="29"/>
      <c r="B6" s="30" t="s">
        <v>29</v>
      </c>
      <c r="C6" s="30"/>
      <c r="D6" s="30"/>
      <c r="E6" s="31" t="s">
        <v>30</v>
      </c>
      <c r="F6" s="31"/>
    </row>
    <row r="7" customFormat="false" ht="24" hidden="false" customHeight="true" outlineLevel="0" collapsed="false">
      <c r="A7" s="10" t="s">
        <v>53</v>
      </c>
      <c r="B7" s="10" t="s">
        <v>12</v>
      </c>
      <c r="C7" s="11" t="n">
        <f aca="false">B3*0.3*1</f>
        <v>6.230112</v>
      </c>
      <c r="D7" s="11" t="n">
        <f aca="false">B3*0.45*1</f>
        <v>9.345168</v>
      </c>
      <c r="E7" s="41"/>
      <c r="F7" s="16" t="n">
        <f aca="false">C7+C8</f>
        <v>11.503152</v>
      </c>
      <c r="H7" s="45" t="n">
        <v>5.06</v>
      </c>
      <c r="I7" s="46" t="n">
        <v>7.59</v>
      </c>
    </row>
    <row r="8" customFormat="false" ht="24" hidden="false" customHeight="true" outlineLevel="0" collapsed="false">
      <c r="A8" s="10"/>
      <c r="B8" s="10" t="s">
        <v>14</v>
      </c>
      <c r="C8" s="11" t="n">
        <f aca="false">D3*0.3*1</f>
        <v>5.27304</v>
      </c>
      <c r="D8" s="11" t="n">
        <f aca="false">D3*0.45*1</f>
        <v>7.90956</v>
      </c>
      <c r="E8" s="41"/>
      <c r="F8" s="16" t="n">
        <f aca="false">D7+D8</f>
        <v>17.254728</v>
      </c>
      <c r="H8" s="45"/>
      <c r="I8" s="46" t="n">
        <v>6.41</v>
      </c>
    </row>
    <row r="9" customFormat="false" ht="12.75" hidden="false" customHeight="true" outlineLevel="0" collapsed="false">
      <c r="A9" s="42"/>
      <c r="B9" s="43" t="s">
        <v>54</v>
      </c>
      <c r="C9" s="43"/>
      <c r="D9" s="43"/>
      <c r="E9" s="43"/>
      <c r="F9" s="43"/>
    </row>
    <row r="10" customFormat="false" ht="15" hidden="false" customHeight="true" outlineLevel="0" collapsed="false">
      <c r="A10" s="29"/>
      <c r="B10" s="30" t="s">
        <v>52</v>
      </c>
      <c r="C10" s="30"/>
      <c r="D10" s="30"/>
      <c r="E10" s="31" t="s">
        <v>30</v>
      </c>
      <c r="F10" s="31"/>
    </row>
    <row r="11" customFormat="false" ht="24" hidden="false" customHeight="true" outlineLevel="0" collapsed="false">
      <c r="A11" s="10" t="s">
        <v>33</v>
      </c>
      <c r="B11" s="10" t="s">
        <v>12</v>
      </c>
      <c r="C11" s="11" t="n">
        <f aca="false">B3*0.3*1</f>
        <v>6.230112</v>
      </c>
      <c r="D11" s="11" t="n">
        <f aca="false">B3*0.45*1</f>
        <v>9.345168</v>
      </c>
      <c r="E11" s="41"/>
      <c r="F11" s="16" t="n">
        <f aca="false">C11+C12</f>
        <v>11.503152</v>
      </c>
    </row>
    <row r="12" customFormat="false" ht="24" hidden="false" customHeight="true" outlineLevel="0" collapsed="false">
      <c r="A12" s="10"/>
      <c r="B12" s="10" t="s">
        <v>14</v>
      </c>
      <c r="C12" s="11" t="n">
        <f aca="false">D3*0.3*1</f>
        <v>5.27304</v>
      </c>
      <c r="D12" s="11" t="n">
        <f aca="false">D3*0.45*1</f>
        <v>7.90956</v>
      </c>
      <c r="E12" s="41"/>
      <c r="F12" s="16" t="n">
        <f aca="false">D11+D12</f>
        <v>17.254728</v>
      </c>
    </row>
    <row r="13" customFormat="false" ht="12.75" hidden="false" customHeight="true" outlineLevel="0" collapsed="false">
      <c r="A13" s="42"/>
      <c r="B13" s="43" t="s">
        <v>54</v>
      </c>
      <c r="C13" s="43"/>
      <c r="D13" s="43"/>
      <c r="E13" s="43"/>
      <c r="F13" s="43"/>
    </row>
    <row r="14" customFormat="false" ht="15" hidden="false" customHeight="true" outlineLevel="0" collapsed="false">
      <c r="A14" s="29"/>
      <c r="B14" s="30" t="s">
        <v>55</v>
      </c>
      <c r="C14" s="30"/>
      <c r="D14" s="30"/>
      <c r="E14" s="31" t="s">
        <v>56</v>
      </c>
      <c r="F14" s="31"/>
    </row>
    <row r="15" customFormat="false" ht="24" hidden="false" customHeight="true" outlineLevel="0" collapsed="false">
      <c r="A15" s="33" t="s">
        <v>35</v>
      </c>
      <c r="B15" s="33" t="s">
        <v>12</v>
      </c>
      <c r="C15" s="19" t="n">
        <f aca="false">B3*1.2*1.1</f>
        <v>27.4124928</v>
      </c>
      <c r="D15" s="19"/>
      <c r="E15" s="44"/>
      <c r="F15" s="19" t="n">
        <f aca="false">C15+C16</f>
        <v>50.6138688</v>
      </c>
    </row>
    <row r="16" customFormat="false" ht="24" hidden="false" customHeight="true" outlineLevel="0" collapsed="false">
      <c r="A16" s="33"/>
      <c r="B16" s="33" t="s">
        <v>14</v>
      </c>
      <c r="C16" s="19" t="n">
        <f aca="false">D3*1.2*1.1</f>
        <v>23.201376</v>
      </c>
      <c r="D16" s="19"/>
      <c r="E16" s="44"/>
      <c r="F16" s="19"/>
    </row>
    <row r="17" customFormat="false" ht="15" hidden="false" customHeight="true" outlineLevel="0" collapsed="false">
      <c r="A17" s="29"/>
      <c r="B17" s="30" t="s">
        <v>57</v>
      </c>
      <c r="C17" s="30"/>
      <c r="D17" s="30"/>
      <c r="E17" s="31"/>
      <c r="F17" s="31"/>
    </row>
    <row r="18" customFormat="false" ht="24" hidden="false" customHeight="true" outlineLevel="0" collapsed="false">
      <c r="A18" s="33" t="s">
        <v>58</v>
      </c>
      <c r="B18" s="33" t="s">
        <v>12</v>
      </c>
      <c r="C18" s="19" t="n">
        <f aca="false">C24/4</f>
        <v>8.0991456</v>
      </c>
      <c r="D18" s="19"/>
      <c r="E18" s="44"/>
      <c r="F18" s="19" t="n">
        <f aca="false">C18+C19</f>
        <v>14.9540976</v>
      </c>
    </row>
    <row r="19" customFormat="false" ht="24" hidden="false" customHeight="true" outlineLevel="0" collapsed="false">
      <c r="A19" s="33"/>
      <c r="B19" s="33" t="s">
        <v>14</v>
      </c>
      <c r="C19" s="19" t="n">
        <f aca="false">C25/4</f>
        <v>6.854952</v>
      </c>
      <c r="D19" s="19"/>
      <c r="E19" s="44"/>
      <c r="F19" s="19"/>
    </row>
    <row r="20" customFormat="false" ht="15" hidden="false" customHeight="true" outlineLevel="0" collapsed="false">
      <c r="A20" s="29"/>
      <c r="B20" s="30" t="s">
        <v>65</v>
      </c>
      <c r="C20" s="30"/>
      <c r="D20" s="30"/>
      <c r="E20" s="31" t="s">
        <v>40</v>
      </c>
      <c r="F20" s="31"/>
    </row>
    <row r="21" customFormat="false" ht="24" hidden="false" customHeight="true" outlineLevel="0" collapsed="false">
      <c r="A21" s="10" t="s">
        <v>60</v>
      </c>
      <c r="B21" s="10" t="s">
        <v>12</v>
      </c>
      <c r="C21" s="11" t="n">
        <f aca="false">B3*0.8*1</f>
        <v>16.613632</v>
      </c>
      <c r="D21" s="41"/>
      <c r="E21" s="41"/>
      <c r="F21" s="16" t="n">
        <f aca="false">C21+C22</f>
        <v>30.675072</v>
      </c>
      <c r="H21" s="46" t="n">
        <v>17.54</v>
      </c>
      <c r="I21" s="47"/>
    </row>
    <row r="22" customFormat="false" ht="24" hidden="false" customHeight="true" outlineLevel="0" collapsed="false">
      <c r="A22" s="10"/>
      <c r="B22" s="10" t="s">
        <v>14</v>
      </c>
      <c r="C22" s="11" t="n">
        <f aca="false">D3*0.8*1</f>
        <v>14.06144</v>
      </c>
      <c r="D22" s="41"/>
      <c r="E22" s="41"/>
      <c r="F22" s="16"/>
      <c r="H22" s="46" t="n">
        <v>14.84</v>
      </c>
      <c r="I22" s="47"/>
    </row>
    <row r="23" customFormat="false" ht="15" hidden="false" customHeight="true" outlineLevel="0" collapsed="false">
      <c r="A23" s="29"/>
      <c r="B23" s="30" t="s">
        <v>55</v>
      </c>
      <c r="C23" s="30"/>
      <c r="D23" s="30"/>
      <c r="E23" s="31" t="s">
        <v>44</v>
      </c>
      <c r="F23" s="31"/>
    </row>
    <row r="24" customFormat="false" ht="24" hidden="false" customHeight="true" outlineLevel="0" collapsed="false">
      <c r="A24" s="10" t="s">
        <v>45</v>
      </c>
      <c r="B24" s="10" t="s">
        <v>12</v>
      </c>
      <c r="C24" s="11" t="n">
        <f aca="false">B3*1.2*1.3</f>
        <v>32.3965824</v>
      </c>
      <c r="D24" s="41"/>
      <c r="E24" s="41"/>
      <c r="F24" s="16" t="n">
        <f aca="false">C24+C25</f>
        <v>59.8163904</v>
      </c>
      <c r="H24" s="46" t="n">
        <v>26.3</v>
      </c>
      <c r="I24" s="47"/>
    </row>
    <row r="25" customFormat="false" ht="24" hidden="false" customHeight="true" outlineLevel="0" collapsed="false">
      <c r="A25" s="10"/>
      <c r="B25" s="10" t="s">
        <v>14</v>
      </c>
      <c r="C25" s="11" t="n">
        <f aca="false">D3*1.2*1.3</f>
        <v>27.419808</v>
      </c>
      <c r="D25" s="41"/>
      <c r="E25" s="41"/>
      <c r="F25" s="16"/>
      <c r="H25" s="46" t="n">
        <v>22.26</v>
      </c>
      <c r="I25" s="47"/>
    </row>
    <row r="26" customFormat="false" ht="15" hidden="false" customHeight="true" outlineLevel="0" collapsed="false">
      <c r="A26" s="29"/>
      <c r="B26" s="30" t="s">
        <v>62</v>
      </c>
      <c r="C26" s="30"/>
      <c r="D26" s="30"/>
      <c r="E26" s="31" t="s">
        <v>44</v>
      </c>
      <c r="F26" s="31"/>
    </row>
    <row r="27" customFormat="false" ht="24" hidden="false" customHeight="true" outlineLevel="0" collapsed="false">
      <c r="A27" s="10" t="s">
        <v>47</v>
      </c>
      <c r="B27" s="10" t="s">
        <v>12</v>
      </c>
      <c r="C27" s="11" t="n">
        <f aca="false">B3*1*1.3</f>
        <v>26.997152</v>
      </c>
      <c r="D27" s="41"/>
      <c r="E27" s="41"/>
      <c r="F27" s="16" t="n">
        <f aca="false">C27+C28</f>
        <v>49.846992</v>
      </c>
      <c r="H27" s="46" t="n">
        <v>21.92</v>
      </c>
      <c r="I27" s="47"/>
    </row>
    <row r="28" customFormat="false" ht="24" hidden="false" customHeight="true" outlineLevel="0" collapsed="false">
      <c r="A28" s="10"/>
      <c r="B28" s="10" t="s">
        <v>14</v>
      </c>
      <c r="C28" s="11" t="n">
        <f aca="false">D3*1*1.3</f>
        <v>22.84984</v>
      </c>
      <c r="D28" s="41"/>
      <c r="E28" s="41"/>
      <c r="F28" s="16"/>
      <c r="H28" s="46" t="n">
        <v>18.55</v>
      </c>
      <c r="I28" s="47"/>
    </row>
    <row r="29" customFormat="false" ht="15" hidden="false" customHeight="true" outlineLevel="0" collapsed="false">
      <c r="A29" s="29"/>
      <c r="B29" s="30" t="s">
        <v>63</v>
      </c>
      <c r="C29" s="30"/>
      <c r="D29" s="30"/>
      <c r="E29" s="31" t="s">
        <v>42</v>
      </c>
      <c r="F29" s="31"/>
    </row>
    <row r="30" customFormat="false" ht="24" hidden="false" customHeight="true" outlineLevel="0" collapsed="false">
      <c r="A30" s="10" t="s">
        <v>49</v>
      </c>
      <c r="B30" s="10" t="s">
        <v>12</v>
      </c>
      <c r="C30" s="11" t="n">
        <f aca="false">B3*0.9*1.4</f>
        <v>26.1664704</v>
      </c>
      <c r="D30" s="41"/>
      <c r="E30" s="41"/>
      <c r="F30" s="16" t="n">
        <f aca="false">C30+C31</f>
        <v>48.3132384</v>
      </c>
      <c r="H30" s="46" t="n">
        <v>21.25</v>
      </c>
      <c r="I30" s="47"/>
    </row>
    <row r="31" customFormat="false" ht="24" hidden="false" customHeight="true" outlineLevel="0" collapsed="false">
      <c r="A31" s="10"/>
      <c r="B31" s="10" t="s">
        <v>14</v>
      </c>
      <c r="C31" s="11" t="n">
        <f aca="false">D3*0.9*1.4</f>
        <v>22.146768</v>
      </c>
      <c r="D31" s="41"/>
      <c r="E31" s="41"/>
      <c r="F31" s="16"/>
      <c r="H31" s="46" t="n">
        <v>17.98</v>
      </c>
      <c r="I31" s="47"/>
    </row>
    <row r="32" customFormat="false" ht="35.7" hidden="false" customHeight="true" outlineLevel="0" collapsed="false">
      <c r="A32" s="48" t="s">
        <v>66</v>
      </c>
      <c r="B32" s="48"/>
      <c r="C32" s="48"/>
      <c r="D32" s="48"/>
      <c r="E32" s="48"/>
      <c r="F32" s="48"/>
    </row>
    <row r="33" customFormat="false" ht="35.4" hidden="false" customHeight="true" outlineLevel="0" collapsed="false">
      <c r="A33" s="38" t="s">
        <v>50</v>
      </c>
      <c r="B33" s="38"/>
      <c r="C33" s="38"/>
      <c r="D33" s="38"/>
      <c r="E33" s="38"/>
      <c r="F33" s="38"/>
    </row>
  </sheetData>
  <sheetProtection sheet="true" objects="true" scenarios="true"/>
  <mergeCells count="38">
    <mergeCell ref="A1:F1"/>
    <mergeCell ref="A2:F2"/>
    <mergeCell ref="D4:E4"/>
    <mergeCell ref="A5:E5"/>
    <mergeCell ref="B6:D6"/>
    <mergeCell ref="E6:F6"/>
    <mergeCell ref="A7:A8"/>
    <mergeCell ref="B9:F9"/>
    <mergeCell ref="B10:D10"/>
    <mergeCell ref="E10:F10"/>
    <mergeCell ref="A11:A12"/>
    <mergeCell ref="B13:F13"/>
    <mergeCell ref="B14:D14"/>
    <mergeCell ref="E14:F14"/>
    <mergeCell ref="A15:A16"/>
    <mergeCell ref="F15:F16"/>
    <mergeCell ref="B17:D17"/>
    <mergeCell ref="E17:F17"/>
    <mergeCell ref="A18:A19"/>
    <mergeCell ref="F18:F19"/>
    <mergeCell ref="B20:D20"/>
    <mergeCell ref="E20:F20"/>
    <mergeCell ref="A21:A22"/>
    <mergeCell ref="F21:F22"/>
    <mergeCell ref="B23:D23"/>
    <mergeCell ref="E23:F23"/>
    <mergeCell ref="A24:A25"/>
    <mergeCell ref="F24:F25"/>
    <mergeCell ref="B26:D26"/>
    <mergeCell ref="E26:F26"/>
    <mergeCell ref="A27:A28"/>
    <mergeCell ref="F27:F28"/>
    <mergeCell ref="B29:D29"/>
    <mergeCell ref="E29:F29"/>
    <mergeCell ref="A30:A31"/>
    <mergeCell ref="F30:F31"/>
    <mergeCell ref="A32:F32"/>
    <mergeCell ref="A33:F33"/>
  </mergeCells>
  <printOptions headings="false" gridLines="false" gridLinesSet="true" horizontalCentered="true" verticalCentered="false"/>
  <pageMargins left="0.7875" right="0.7875" top="1.05277777777778" bottom="1.05277777777778" header="0.7875" footer="0.7875"/>
  <pageSetup paperSize="8" scale="100" fitToWidth="1" fitToHeight="1" pageOrder="downThenOver" orientation="landscape" blackAndWhite="false" draft="false" cellComments="none" horizontalDpi="300" verticalDpi="300" copies="1"/>
  <headerFooter differentFirst="false" differentOddEven="false">
    <oddHeader>&amp;C&amp;"Times New Roman,Normale"&amp;12&amp;A</oddHeader>
    <oddFooter>&amp;C&amp;"Times New Roman,Normale"&amp;12Pagina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32"/>
  <sheetViews>
    <sheetView showFormulas="false" showGridLines="true" showRowColHeaders="true" showZeros="true" rightToLeft="false" tabSelected="false" showOutlineSymbols="true" defaultGridColor="true" view="normal" topLeftCell="A1" colorId="64" zoomScale="82" zoomScaleNormal="82" zoomScalePageLayoutView="100" workbookViewId="0">
      <selection pane="topLeft" activeCell="A32" activeCellId="0" sqref="A32"/>
    </sheetView>
  </sheetViews>
  <sheetFormatPr defaultColWidth="8.625" defaultRowHeight="12.75" zeroHeight="false" outlineLevelRow="0" outlineLevelCol="0"/>
  <cols>
    <col collapsed="false" customWidth="true" hidden="false" outlineLevel="0" max="1" min="1" style="1" width="28.48"/>
    <col collapsed="false" customWidth="true" hidden="false" outlineLevel="0" max="2" min="2" style="1" width="18.49"/>
    <col collapsed="false" customWidth="true" hidden="false" outlineLevel="0" max="3" min="3" style="1" width="25.51"/>
    <col collapsed="false" customWidth="true" hidden="false" outlineLevel="0" max="4" min="4" style="1" width="18.49"/>
    <col collapsed="false" customWidth="true" hidden="false" outlineLevel="0" max="5" min="5" style="1" width="25.51"/>
    <col collapsed="false" customWidth="true" hidden="false" outlineLevel="0" max="6" min="6" style="1" width="18.49"/>
    <col collapsed="false" customWidth="true" hidden="false" outlineLevel="0" max="8" min="8" style="1" width="15.97"/>
  </cols>
  <sheetData>
    <row r="1" customFormat="false" ht="18" hidden="false" customHeight="true" outlineLevel="0" collapsed="false">
      <c r="A1" s="4" t="s">
        <v>23</v>
      </c>
      <c r="B1" s="4"/>
      <c r="C1" s="4"/>
      <c r="D1" s="4"/>
      <c r="E1" s="4"/>
      <c r="F1" s="4"/>
    </row>
    <row r="2" customFormat="false" ht="15.75" hidden="false" customHeight="true" outlineLevel="0" collapsed="false">
      <c r="A2" s="23" t="s">
        <v>67</v>
      </c>
      <c r="B2" s="23"/>
      <c r="C2" s="23"/>
      <c r="D2" s="23"/>
      <c r="E2" s="23"/>
      <c r="F2" s="23"/>
      <c r="H2" s="24" t="n">
        <f aca="false">1+F4</f>
        <v>1.016</v>
      </c>
      <c r="I2" s="45"/>
    </row>
    <row r="3" customFormat="false" ht="12.75" hidden="false" customHeight="true" outlineLevel="0" collapsed="false">
      <c r="A3" s="10" t="s">
        <v>25</v>
      </c>
      <c r="B3" s="11" t="n">
        <f aca="false">'A - RIFERIMENTO'!I11</f>
        <v>19.18208</v>
      </c>
      <c r="C3" s="8" t="s">
        <v>26</v>
      </c>
      <c r="D3" s="11" t="n">
        <f aca="false">'A - RIFERIMENTO'!I12</f>
        <v>9.57072</v>
      </c>
      <c r="E3" s="8" t="s">
        <v>27</v>
      </c>
      <c r="F3" s="49" t="n">
        <f aca="false">B3+D3</f>
        <v>28.7528</v>
      </c>
    </row>
    <row r="4" customFormat="false" ht="10.5" hidden="false" customHeight="true" outlineLevel="0" collapsed="false">
      <c r="A4" s="39"/>
      <c r="B4" s="40"/>
      <c r="C4" s="40"/>
      <c r="D4" s="27" t="s">
        <v>28</v>
      </c>
      <c r="E4" s="27"/>
      <c r="F4" s="28" t="n">
        <v>0.016</v>
      </c>
    </row>
    <row r="5" customFormat="false" ht="12.75" hidden="false" customHeight="true" outlineLevel="0" collapsed="false">
      <c r="A5" s="14"/>
      <c r="B5" s="14"/>
      <c r="C5" s="14"/>
      <c r="D5" s="14"/>
      <c r="E5" s="14"/>
      <c r="F5" s="12" t="s">
        <v>7</v>
      </c>
    </row>
    <row r="6" customFormat="false" ht="15" hidden="false" customHeight="true" outlineLevel="0" collapsed="false">
      <c r="A6" s="29"/>
      <c r="B6" s="30" t="s">
        <v>29</v>
      </c>
      <c r="C6" s="30"/>
      <c r="D6" s="30"/>
      <c r="E6" s="31" t="s">
        <v>30</v>
      </c>
      <c r="F6" s="31"/>
    </row>
    <row r="7" customFormat="false" ht="24" hidden="false" customHeight="true" outlineLevel="0" collapsed="false">
      <c r="A7" s="10" t="s">
        <v>53</v>
      </c>
      <c r="B7" s="10" t="s">
        <v>12</v>
      </c>
      <c r="C7" s="50" t="n">
        <f aca="false">B3*0.3*1</f>
        <v>5.754624</v>
      </c>
      <c r="D7" s="50" t="n">
        <f aca="false">B3*0.45*1</f>
        <v>8.631936</v>
      </c>
      <c r="E7" s="7"/>
      <c r="F7" s="49" t="n">
        <f aca="false">C7+C8</f>
        <v>8.62584</v>
      </c>
      <c r="H7" s="45"/>
      <c r="I7" s="46" t="n">
        <v>7.01</v>
      </c>
    </row>
    <row r="8" customFormat="false" ht="24" hidden="false" customHeight="true" outlineLevel="0" collapsed="false">
      <c r="A8" s="10"/>
      <c r="B8" s="10" t="s">
        <v>14</v>
      </c>
      <c r="C8" s="50" t="n">
        <f aca="false">D3*0.3*1</f>
        <v>2.871216</v>
      </c>
      <c r="D8" s="50" t="n">
        <f aca="false">D3*0.45*1</f>
        <v>4.306824</v>
      </c>
      <c r="E8" s="7"/>
      <c r="F8" s="49" t="n">
        <f aca="false">D7+D8</f>
        <v>12.93876</v>
      </c>
      <c r="H8" s="45"/>
      <c r="I8" s="46" t="n">
        <v>3.49</v>
      </c>
    </row>
    <row r="9" customFormat="false" ht="12.75" hidden="false" customHeight="true" outlineLevel="0" collapsed="false">
      <c r="A9" s="42"/>
      <c r="B9" s="43" t="s">
        <v>54</v>
      </c>
      <c r="C9" s="43"/>
      <c r="D9" s="43"/>
      <c r="E9" s="43"/>
      <c r="F9" s="43"/>
    </row>
    <row r="10" customFormat="false" ht="15" hidden="false" customHeight="true" outlineLevel="0" collapsed="false">
      <c r="A10" s="29"/>
      <c r="B10" s="30" t="s">
        <v>29</v>
      </c>
      <c r="C10" s="30"/>
      <c r="D10" s="30"/>
      <c r="E10" s="31" t="s">
        <v>30</v>
      </c>
      <c r="F10" s="31"/>
    </row>
    <row r="11" customFormat="false" ht="24" hidden="false" customHeight="true" outlineLevel="0" collapsed="false">
      <c r="A11" s="10" t="s">
        <v>33</v>
      </c>
      <c r="B11" s="10" t="s">
        <v>12</v>
      </c>
      <c r="C11" s="50" t="n">
        <f aca="false">B3*0.3*1</f>
        <v>5.754624</v>
      </c>
      <c r="D11" s="50" t="n">
        <f aca="false">B3*0.45*1</f>
        <v>8.631936</v>
      </c>
      <c r="E11" s="51"/>
      <c r="F11" s="49" t="n">
        <f aca="false">C11+C12</f>
        <v>8.62584</v>
      </c>
    </row>
    <row r="12" customFormat="false" ht="24" hidden="false" customHeight="true" outlineLevel="0" collapsed="false">
      <c r="A12" s="10"/>
      <c r="B12" s="10" t="s">
        <v>14</v>
      </c>
      <c r="C12" s="50" t="n">
        <f aca="false">D3*0.3*1</f>
        <v>2.871216</v>
      </c>
      <c r="D12" s="50" t="n">
        <f aca="false">D3*0.45*1</f>
        <v>4.306824</v>
      </c>
      <c r="E12" s="51"/>
      <c r="F12" s="49" t="n">
        <f aca="false">D11+D12</f>
        <v>12.93876</v>
      </c>
    </row>
    <row r="13" customFormat="false" ht="12.75" hidden="false" customHeight="true" outlineLevel="0" collapsed="false">
      <c r="A13" s="42"/>
      <c r="B13" s="43" t="s">
        <v>54</v>
      </c>
      <c r="C13" s="43"/>
      <c r="D13" s="43"/>
      <c r="E13" s="43"/>
      <c r="F13" s="43"/>
    </row>
    <row r="14" customFormat="false" ht="15" hidden="false" customHeight="true" outlineLevel="0" collapsed="false">
      <c r="A14" s="29"/>
      <c r="B14" s="30" t="s">
        <v>55</v>
      </c>
      <c r="C14" s="30"/>
      <c r="D14" s="30"/>
      <c r="E14" s="31" t="s">
        <v>56</v>
      </c>
      <c r="F14" s="31"/>
    </row>
    <row r="15" customFormat="false" ht="24" hidden="false" customHeight="true" outlineLevel="0" collapsed="false">
      <c r="A15" s="33" t="s">
        <v>35</v>
      </c>
      <c r="B15" s="33" t="s">
        <v>12</v>
      </c>
      <c r="C15" s="52" t="n">
        <f aca="false">B3*1.2*1.1</f>
        <v>25.3203456</v>
      </c>
      <c r="D15" s="52"/>
      <c r="E15" s="53"/>
      <c r="F15" s="52" t="n">
        <f aca="false">C15+C16</f>
        <v>37.953696</v>
      </c>
    </row>
    <row r="16" customFormat="false" ht="24" hidden="false" customHeight="true" outlineLevel="0" collapsed="false">
      <c r="A16" s="33"/>
      <c r="B16" s="33" t="s">
        <v>14</v>
      </c>
      <c r="C16" s="52" t="n">
        <f aca="false">D3*1.2*1.1</f>
        <v>12.6333504</v>
      </c>
      <c r="D16" s="52"/>
      <c r="E16" s="53"/>
      <c r="F16" s="52"/>
    </row>
    <row r="17" customFormat="false" ht="15" hidden="false" customHeight="true" outlineLevel="0" collapsed="false">
      <c r="A17" s="29"/>
      <c r="B17" s="30" t="s">
        <v>68</v>
      </c>
      <c r="C17" s="30"/>
      <c r="D17" s="30"/>
      <c r="E17" s="31"/>
      <c r="F17" s="31"/>
    </row>
    <row r="18" customFormat="false" ht="24" hidden="false" customHeight="true" outlineLevel="0" collapsed="false">
      <c r="A18" s="33" t="s">
        <v>69</v>
      </c>
      <c r="B18" s="33" t="s">
        <v>12</v>
      </c>
      <c r="C18" s="52" t="n">
        <f aca="false">C24/2</f>
        <v>16.1129472</v>
      </c>
      <c r="D18" s="52"/>
      <c r="E18" s="53"/>
      <c r="F18" s="52" t="n">
        <f aca="false">C18+C19</f>
        <v>24.152352</v>
      </c>
      <c r="H18" s="45" t="n">
        <v>4.67</v>
      </c>
      <c r="I18" s="46" t="n">
        <v>7.01</v>
      </c>
    </row>
    <row r="19" customFormat="false" ht="24" hidden="false" customHeight="true" outlineLevel="0" collapsed="false">
      <c r="A19" s="33"/>
      <c r="B19" s="33" t="s">
        <v>14</v>
      </c>
      <c r="C19" s="52" t="n">
        <f aca="false">C25/2</f>
        <v>8.0394048</v>
      </c>
      <c r="D19" s="52"/>
      <c r="E19" s="53"/>
      <c r="F19" s="52"/>
      <c r="H19" s="46" t="n">
        <v>2.33</v>
      </c>
      <c r="I19" s="46" t="n">
        <v>3.49</v>
      </c>
    </row>
    <row r="20" customFormat="false" ht="15" hidden="false" customHeight="true" outlineLevel="0" collapsed="false">
      <c r="A20" s="29"/>
      <c r="B20" s="30" t="s">
        <v>65</v>
      </c>
      <c r="C20" s="30"/>
      <c r="D20" s="30"/>
      <c r="E20" s="31" t="s">
        <v>40</v>
      </c>
      <c r="F20" s="31"/>
    </row>
    <row r="21" customFormat="false" ht="24" hidden="false" customHeight="true" outlineLevel="0" collapsed="false">
      <c r="A21" s="10" t="s">
        <v>60</v>
      </c>
      <c r="B21" s="10" t="s">
        <v>12</v>
      </c>
      <c r="C21" s="50" t="n">
        <f aca="false">B3*0.8*1</f>
        <v>15.345664</v>
      </c>
      <c r="D21" s="51"/>
      <c r="E21" s="51"/>
      <c r="F21" s="49" t="n">
        <f aca="false">C21+C22</f>
        <v>23.00224</v>
      </c>
      <c r="H21" s="46" t="n">
        <v>16.19</v>
      </c>
      <c r="I21" s="47"/>
    </row>
    <row r="22" customFormat="false" ht="24" hidden="false" customHeight="true" outlineLevel="0" collapsed="false">
      <c r="A22" s="10"/>
      <c r="B22" s="10" t="s">
        <v>14</v>
      </c>
      <c r="C22" s="50" t="n">
        <f aca="false">D3*0.8*1</f>
        <v>7.656576</v>
      </c>
      <c r="D22" s="51"/>
      <c r="E22" s="51"/>
      <c r="F22" s="49"/>
      <c r="H22" s="46" t="n">
        <v>8.09</v>
      </c>
      <c r="I22" s="47"/>
    </row>
    <row r="23" customFormat="false" ht="15" hidden="false" customHeight="true" outlineLevel="0" collapsed="false">
      <c r="A23" s="29"/>
      <c r="B23" s="30" t="s">
        <v>55</v>
      </c>
      <c r="C23" s="30"/>
      <c r="D23" s="30"/>
      <c r="E23" s="31" t="s">
        <v>42</v>
      </c>
      <c r="F23" s="31"/>
    </row>
    <row r="24" customFormat="false" ht="24" hidden="false" customHeight="true" outlineLevel="0" collapsed="false">
      <c r="A24" s="10" t="s">
        <v>45</v>
      </c>
      <c r="B24" s="10" t="s">
        <v>12</v>
      </c>
      <c r="C24" s="50" t="n">
        <f aca="false">B3*1.2*1.4</f>
        <v>32.2258944</v>
      </c>
      <c r="D24" s="51"/>
      <c r="E24" s="51"/>
      <c r="F24" s="49" t="n">
        <f aca="false">C24+C25</f>
        <v>48.304704</v>
      </c>
      <c r="H24" s="46" t="n">
        <v>26.16</v>
      </c>
      <c r="I24" s="47"/>
    </row>
    <row r="25" customFormat="false" ht="24" hidden="false" customHeight="true" outlineLevel="0" collapsed="false">
      <c r="A25" s="10"/>
      <c r="B25" s="10" t="s">
        <v>14</v>
      </c>
      <c r="C25" s="50" t="n">
        <f aca="false">D3*1.2*1.4</f>
        <v>16.0788096</v>
      </c>
      <c r="D25" s="51"/>
      <c r="E25" s="51"/>
      <c r="F25" s="49"/>
      <c r="H25" s="46" t="n">
        <v>13.07</v>
      </c>
      <c r="I25" s="47"/>
    </row>
    <row r="26" customFormat="false" ht="15" hidden="false" customHeight="true" outlineLevel="0" collapsed="false">
      <c r="A26" s="29"/>
      <c r="B26" s="30" t="s">
        <v>62</v>
      </c>
      <c r="C26" s="30"/>
      <c r="D26" s="30"/>
      <c r="E26" s="31" t="s">
        <v>42</v>
      </c>
      <c r="F26" s="31"/>
    </row>
    <row r="27" customFormat="false" ht="24" hidden="false" customHeight="true" outlineLevel="0" collapsed="false">
      <c r="A27" s="10" t="s">
        <v>47</v>
      </c>
      <c r="B27" s="10" t="s">
        <v>12</v>
      </c>
      <c r="C27" s="50" t="n">
        <f aca="false">B3*1*1.4</f>
        <v>26.854912</v>
      </c>
      <c r="D27" s="51"/>
      <c r="E27" s="51"/>
      <c r="F27" s="49" t="n">
        <f aca="false">C27+C28</f>
        <v>40.25392</v>
      </c>
      <c r="H27" s="46" t="n">
        <v>21.8</v>
      </c>
      <c r="I27" s="47"/>
    </row>
    <row r="28" customFormat="false" ht="24" hidden="false" customHeight="true" outlineLevel="0" collapsed="false">
      <c r="A28" s="10"/>
      <c r="B28" s="10" t="s">
        <v>14</v>
      </c>
      <c r="C28" s="50" t="n">
        <f aca="false">D3*1*1.4</f>
        <v>13.399008</v>
      </c>
      <c r="D28" s="51"/>
      <c r="E28" s="51"/>
      <c r="F28" s="49"/>
      <c r="H28" s="46" t="n">
        <v>10.9</v>
      </c>
      <c r="I28" s="47"/>
    </row>
    <row r="29" customFormat="false" ht="15" hidden="false" customHeight="true" outlineLevel="0" collapsed="false">
      <c r="A29" s="29"/>
      <c r="B29" s="30" t="s">
        <v>63</v>
      </c>
      <c r="C29" s="30"/>
      <c r="D29" s="30"/>
      <c r="E29" s="31" t="s">
        <v>42</v>
      </c>
      <c r="F29" s="31"/>
    </row>
    <row r="30" customFormat="false" ht="24" hidden="false" customHeight="true" outlineLevel="0" collapsed="false">
      <c r="A30" s="10" t="s">
        <v>49</v>
      </c>
      <c r="B30" s="10" t="s">
        <v>12</v>
      </c>
      <c r="C30" s="50" t="n">
        <f aca="false">B3*0.9*1.4</f>
        <v>24.1694208</v>
      </c>
      <c r="D30" s="51"/>
      <c r="E30" s="51"/>
      <c r="F30" s="49" t="n">
        <f aca="false">C30+C31</f>
        <v>36.228528</v>
      </c>
      <c r="H30" s="46" t="n">
        <v>19.62</v>
      </c>
      <c r="I30" s="47"/>
    </row>
    <row r="31" customFormat="false" ht="24" hidden="false" customHeight="true" outlineLevel="0" collapsed="false">
      <c r="A31" s="10"/>
      <c r="B31" s="10" t="s">
        <v>14</v>
      </c>
      <c r="C31" s="50" t="n">
        <f aca="false">D3*0.9*1.4</f>
        <v>12.0591072</v>
      </c>
      <c r="D31" s="51"/>
      <c r="E31" s="51"/>
      <c r="F31" s="49"/>
      <c r="H31" s="46" t="n">
        <v>9.8</v>
      </c>
      <c r="I31" s="47"/>
    </row>
    <row r="32" customFormat="false" ht="35.4" hidden="false" customHeight="true" outlineLevel="0" collapsed="false">
      <c r="A32" s="38" t="s">
        <v>50</v>
      </c>
      <c r="B32" s="38"/>
      <c r="C32" s="38"/>
      <c r="D32" s="38"/>
      <c r="E32" s="38"/>
      <c r="F32" s="38"/>
    </row>
  </sheetData>
  <sheetProtection sheet="true" objects="true" scenarios="true"/>
  <mergeCells count="37">
    <mergeCell ref="A1:F1"/>
    <mergeCell ref="A2:F2"/>
    <mergeCell ref="D4:E4"/>
    <mergeCell ref="A5:E5"/>
    <mergeCell ref="B6:D6"/>
    <mergeCell ref="E6:F6"/>
    <mergeCell ref="A7:A8"/>
    <mergeCell ref="B9:F9"/>
    <mergeCell ref="B10:D10"/>
    <mergeCell ref="E10:F10"/>
    <mergeCell ref="A11:A12"/>
    <mergeCell ref="B13:F13"/>
    <mergeCell ref="B14:D14"/>
    <mergeCell ref="E14:F14"/>
    <mergeCell ref="A15:A16"/>
    <mergeCell ref="F15:F16"/>
    <mergeCell ref="B17:D17"/>
    <mergeCell ref="E17:F17"/>
    <mergeCell ref="A18:A19"/>
    <mergeCell ref="F18:F19"/>
    <mergeCell ref="B20:D20"/>
    <mergeCell ref="E20:F20"/>
    <mergeCell ref="A21:A22"/>
    <mergeCell ref="F21:F22"/>
    <mergeCell ref="B23:D23"/>
    <mergeCell ref="E23:F23"/>
    <mergeCell ref="A24:A25"/>
    <mergeCell ref="F24:F25"/>
    <mergeCell ref="B26:D26"/>
    <mergeCell ref="E26:F26"/>
    <mergeCell ref="A27:A28"/>
    <mergeCell ref="F27:F28"/>
    <mergeCell ref="B29:D29"/>
    <mergeCell ref="E29:F29"/>
    <mergeCell ref="A30:A31"/>
    <mergeCell ref="F30:F31"/>
    <mergeCell ref="A32:F32"/>
  </mergeCells>
  <printOptions headings="false" gridLines="false" gridLinesSet="true" horizontalCentered="true" verticalCentered="false"/>
  <pageMargins left="0.7875" right="0.7875" top="1.05277777777778" bottom="1.05277777777778" header="0.7875" footer="0.7875"/>
  <pageSetup paperSize="8" scale="105" fitToWidth="1" fitToHeight="1" pageOrder="downThenOver" orientation="landscape" blackAndWhite="false" draft="false" cellComments="none" horizontalDpi="300" verticalDpi="300" copies="1"/>
  <headerFooter differentFirst="false" differentOddEven="false">
    <oddHeader>&amp;C&amp;"Times New Roman,Normale"&amp;12&amp;A</oddHeader>
    <oddFooter>&amp;C&amp;"Times New Roman,Normale"&amp;12Pagina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29"/>
  <sheetViews>
    <sheetView showFormulas="false" showGridLines="true" showRowColHeaders="true" showZeros="true" rightToLeft="false" tabSelected="false" showOutlineSymbols="true" defaultGridColor="true" view="normal" topLeftCell="A1" colorId="64" zoomScale="82" zoomScaleNormal="82" zoomScalePageLayoutView="100" workbookViewId="0">
      <selection pane="topLeft" activeCell="D3" activeCellId="0" sqref="D3"/>
    </sheetView>
  </sheetViews>
  <sheetFormatPr defaultColWidth="8.7578125" defaultRowHeight="12.75" zeroHeight="false" outlineLevelRow="0" outlineLevelCol="0"/>
  <cols>
    <col collapsed="false" customWidth="true" hidden="false" outlineLevel="0" max="1" min="1" style="1" width="28.54"/>
    <col collapsed="false" customWidth="true" hidden="false" outlineLevel="0" max="2" min="2" style="1" width="18.54"/>
    <col collapsed="false" customWidth="true" hidden="false" outlineLevel="0" max="3" min="3" style="1" width="25.54"/>
    <col collapsed="false" customWidth="true" hidden="false" outlineLevel="0" max="4" min="4" style="1" width="18.54"/>
    <col collapsed="false" customWidth="true" hidden="false" outlineLevel="0" max="5" min="5" style="1" width="25.54"/>
    <col collapsed="false" customWidth="true" hidden="false" outlineLevel="0" max="6" min="6" style="1" width="18.54"/>
    <col collapsed="false" customWidth="true" hidden="false" outlineLevel="0" max="8" min="8" style="1" width="16.84"/>
  </cols>
  <sheetData>
    <row r="1" customFormat="false" ht="18" hidden="false" customHeight="true" outlineLevel="0" collapsed="false">
      <c r="A1" s="4" t="s">
        <v>23</v>
      </c>
      <c r="B1" s="4"/>
      <c r="C1" s="4"/>
      <c r="D1" s="4"/>
      <c r="E1" s="4"/>
      <c r="F1" s="4"/>
    </row>
    <row r="2" customFormat="false" ht="15.75" hidden="false" customHeight="true" outlineLevel="0" collapsed="false">
      <c r="A2" s="23" t="s">
        <v>70</v>
      </c>
      <c r="B2" s="23"/>
      <c r="C2" s="23"/>
      <c r="D2" s="23"/>
      <c r="E2" s="23"/>
      <c r="F2" s="23"/>
      <c r="H2" s="24" t="n">
        <f aca="false">1+F4</f>
        <v>1.016</v>
      </c>
      <c r="I2" s="45"/>
    </row>
    <row r="3" customFormat="false" ht="12.75" hidden="false" customHeight="true" outlineLevel="0" collapsed="false">
      <c r="A3" s="10" t="s">
        <v>25</v>
      </c>
      <c r="B3" s="11" t="n">
        <f aca="false">'A - RIFERIMENTO'!I13</f>
        <v>33.54832</v>
      </c>
      <c r="C3" s="8" t="s">
        <v>26</v>
      </c>
      <c r="D3" s="11" t="n">
        <f aca="false">'A - RIFERIMENTO'!I14</f>
        <v>11.18616</v>
      </c>
      <c r="E3" s="8" t="s">
        <v>27</v>
      </c>
      <c r="F3" s="49" t="n">
        <f aca="false">B3+D3</f>
        <v>44.73448</v>
      </c>
      <c r="H3" s="45"/>
    </row>
    <row r="4" customFormat="false" ht="10.5" hidden="false" customHeight="true" outlineLevel="0" collapsed="false">
      <c r="A4" s="39"/>
      <c r="B4" s="40"/>
      <c r="C4" s="40"/>
      <c r="D4" s="27" t="s">
        <v>71</v>
      </c>
      <c r="E4" s="27"/>
      <c r="F4" s="28" t="n">
        <v>0.016</v>
      </c>
      <c r="H4" s="45"/>
    </row>
    <row r="5" customFormat="false" ht="12.75" hidden="false" customHeight="true" outlineLevel="0" collapsed="false">
      <c r="A5" s="14"/>
      <c r="B5" s="14"/>
      <c r="C5" s="14"/>
      <c r="D5" s="14"/>
      <c r="E5" s="14"/>
      <c r="F5" s="12" t="s">
        <v>7</v>
      </c>
      <c r="H5" s="45"/>
    </row>
    <row r="6" customFormat="false" ht="15" hidden="false" customHeight="true" outlineLevel="0" collapsed="false">
      <c r="A6" s="29"/>
      <c r="B6" s="30" t="s">
        <v>52</v>
      </c>
      <c r="C6" s="30"/>
      <c r="D6" s="30"/>
      <c r="E6" s="31" t="s">
        <v>30</v>
      </c>
      <c r="F6" s="31"/>
      <c r="H6" s="46"/>
    </row>
    <row r="7" customFormat="false" ht="24" hidden="false" customHeight="true" outlineLevel="0" collapsed="false">
      <c r="A7" s="10" t="s">
        <v>53</v>
      </c>
      <c r="B7" s="10" t="s">
        <v>12</v>
      </c>
      <c r="C7" s="50" t="n">
        <f aca="false">B3*0.3*1</f>
        <v>10.064496</v>
      </c>
      <c r="D7" s="50" t="n">
        <f aca="false">B3*0.45*1</f>
        <v>15.096744</v>
      </c>
      <c r="E7" s="51"/>
      <c r="F7" s="49" t="n">
        <f aca="false">C7+C8</f>
        <v>13.420344</v>
      </c>
      <c r="H7" s="46"/>
      <c r="I7" s="46" t="n">
        <v>12.26</v>
      </c>
      <c r="J7" s="54"/>
    </row>
    <row r="8" customFormat="false" ht="24" hidden="false" customHeight="true" outlineLevel="0" collapsed="false">
      <c r="A8" s="10"/>
      <c r="B8" s="10" t="s">
        <v>14</v>
      </c>
      <c r="C8" s="50" t="n">
        <f aca="false">D3*0.3*1</f>
        <v>3.355848</v>
      </c>
      <c r="D8" s="50" t="n">
        <f aca="false">D3*0.45*1</f>
        <v>5.033772</v>
      </c>
      <c r="E8" s="51"/>
      <c r="F8" s="49" t="n">
        <f aca="false">D7+D8</f>
        <v>20.130516</v>
      </c>
      <c r="H8" s="46" t="n">
        <v>2.72</v>
      </c>
      <c r="I8" s="46" t="n">
        <v>4.09</v>
      </c>
      <c r="J8" s="54"/>
    </row>
    <row r="9" customFormat="false" ht="12.75" hidden="false" customHeight="true" outlineLevel="0" collapsed="false">
      <c r="A9" s="42"/>
      <c r="B9" s="43" t="s">
        <v>54</v>
      </c>
      <c r="C9" s="43"/>
      <c r="D9" s="43"/>
      <c r="E9" s="43"/>
      <c r="F9" s="43"/>
      <c r="H9" s="47"/>
      <c r="I9" s="47"/>
    </row>
    <row r="10" customFormat="false" ht="15" hidden="false" customHeight="true" outlineLevel="0" collapsed="false">
      <c r="A10" s="29"/>
      <c r="B10" s="30" t="s">
        <v>29</v>
      </c>
      <c r="C10" s="30"/>
      <c r="D10" s="30"/>
      <c r="E10" s="31" t="s">
        <v>30</v>
      </c>
      <c r="F10" s="31"/>
      <c r="H10" s="45"/>
    </row>
    <row r="11" customFormat="false" ht="24" hidden="false" customHeight="true" outlineLevel="0" collapsed="false">
      <c r="A11" s="10" t="s">
        <v>33</v>
      </c>
      <c r="B11" s="10" t="s">
        <v>12</v>
      </c>
      <c r="C11" s="50" t="n">
        <f aca="false">B3*0.3*1</f>
        <v>10.064496</v>
      </c>
      <c r="D11" s="50" t="n">
        <f aca="false">B3*0.45*1</f>
        <v>15.096744</v>
      </c>
      <c r="E11" s="51"/>
      <c r="F11" s="49" t="n">
        <f aca="false">C11+C12</f>
        <v>13.420344</v>
      </c>
      <c r="H11" s="45"/>
    </row>
    <row r="12" customFormat="false" ht="24" hidden="false" customHeight="true" outlineLevel="0" collapsed="false">
      <c r="A12" s="10"/>
      <c r="B12" s="10" t="s">
        <v>14</v>
      </c>
      <c r="C12" s="50" t="n">
        <f aca="false">D3*0.3*1</f>
        <v>3.355848</v>
      </c>
      <c r="D12" s="50" t="n">
        <f aca="false">D3*0.45*1</f>
        <v>5.033772</v>
      </c>
      <c r="E12" s="51"/>
      <c r="F12" s="49" t="n">
        <f aca="false">D11+D12</f>
        <v>20.130516</v>
      </c>
      <c r="H12" s="45"/>
    </row>
    <row r="13" customFormat="false" ht="12.75" hidden="false" customHeight="true" outlineLevel="0" collapsed="false">
      <c r="A13" s="42"/>
      <c r="B13" s="43" t="s">
        <v>54</v>
      </c>
      <c r="C13" s="43"/>
      <c r="D13" s="43"/>
      <c r="E13" s="43"/>
      <c r="F13" s="43"/>
      <c r="H13" s="45"/>
    </row>
    <row r="14" customFormat="false" ht="15" hidden="false" customHeight="true" outlineLevel="0" collapsed="false">
      <c r="A14" s="29"/>
      <c r="B14" s="30" t="s">
        <v>61</v>
      </c>
      <c r="C14" s="30"/>
      <c r="D14" s="30"/>
      <c r="E14" s="31" t="s">
        <v>56</v>
      </c>
      <c r="F14" s="31"/>
      <c r="H14" s="45"/>
    </row>
    <row r="15" customFormat="false" ht="24" hidden="false" customHeight="true" outlineLevel="0" collapsed="false">
      <c r="A15" s="33" t="s">
        <v>35</v>
      </c>
      <c r="B15" s="33" t="s">
        <v>12</v>
      </c>
      <c r="C15" s="52" t="n">
        <f aca="false">B3*1.2*1.1</f>
        <v>44.2837824</v>
      </c>
      <c r="D15" s="52"/>
      <c r="E15" s="53"/>
      <c r="F15" s="52" t="n">
        <f aca="false">C15+C16</f>
        <v>59.0495136</v>
      </c>
      <c r="H15" s="46" t="n">
        <v>8.17</v>
      </c>
      <c r="I15" s="46" t="n">
        <v>12.26</v>
      </c>
      <c r="J15" s="54"/>
    </row>
    <row r="16" customFormat="false" ht="24" hidden="false" customHeight="true" outlineLevel="0" collapsed="false">
      <c r="A16" s="33"/>
      <c r="B16" s="33" t="s">
        <v>14</v>
      </c>
      <c r="C16" s="52" t="n">
        <f aca="false">D3*1.2*1.1</f>
        <v>14.7657312</v>
      </c>
      <c r="D16" s="52"/>
      <c r="E16" s="53"/>
      <c r="F16" s="52"/>
      <c r="H16" s="46" t="n">
        <v>2.72</v>
      </c>
      <c r="I16" s="46" t="n">
        <v>4.09</v>
      </c>
      <c r="J16" s="54"/>
    </row>
    <row r="17" customFormat="false" ht="15" hidden="false" customHeight="true" outlineLevel="0" collapsed="false">
      <c r="A17" s="29"/>
      <c r="B17" s="30" t="s">
        <v>65</v>
      </c>
      <c r="C17" s="30"/>
      <c r="D17" s="30"/>
      <c r="E17" s="31" t="s">
        <v>40</v>
      </c>
      <c r="F17" s="31"/>
      <c r="H17" s="47"/>
      <c r="I17" s="47"/>
    </row>
    <row r="18" customFormat="false" ht="24" hidden="false" customHeight="true" outlineLevel="0" collapsed="false">
      <c r="A18" s="10" t="s">
        <v>60</v>
      </c>
      <c r="B18" s="10" t="s">
        <v>12</v>
      </c>
      <c r="C18" s="50" t="n">
        <f aca="false">B3*0.8*1</f>
        <v>26.838656</v>
      </c>
      <c r="D18" s="51"/>
      <c r="E18" s="51"/>
      <c r="F18" s="49" t="n">
        <f aca="false">C18+C19</f>
        <v>35.787584</v>
      </c>
      <c r="H18" s="46" t="n">
        <v>28.34</v>
      </c>
      <c r="I18" s="47"/>
      <c r="J18" s="54"/>
    </row>
    <row r="19" customFormat="false" ht="24" hidden="false" customHeight="true" outlineLevel="0" collapsed="false">
      <c r="A19" s="10"/>
      <c r="B19" s="10" t="s">
        <v>14</v>
      </c>
      <c r="C19" s="50" t="n">
        <f aca="false">D3*0.8*1</f>
        <v>8.948928</v>
      </c>
      <c r="D19" s="51"/>
      <c r="E19" s="51"/>
      <c r="F19" s="49"/>
      <c r="H19" s="46" t="n">
        <v>9.44</v>
      </c>
      <c r="I19" s="47"/>
      <c r="J19" s="54"/>
    </row>
    <row r="20" customFormat="false" ht="15" hidden="false" customHeight="true" outlineLevel="0" collapsed="false">
      <c r="A20" s="29"/>
      <c r="B20" s="30" t="s">
        <v>61</v>
      </c>
      <c r="C20" s="30"/>
      <c r="D20" s="30"/>
      <c r="E20" s="31" t="s">
        <v>44</v>
      </c>
      <c r="F20" s="31"/>
      <c r="H20" s="47"/>
      <c r="I20" s="47"/>
    </row>
    <row r="21" customFormat="false" ht="24" hidden="false" customHeight="true" outlineLevel="0" collapsed="false">
      <c r="A21" s="10" t="s">
        <v>45</v>
      </c>
      <c r="B21" s="10" t="s">
        <v>12</v>
      </c>
      <c r="C21" s="50" t="n">
        <f aca="false">B3*1.2*1.3</f>
        <v>52.3353792</v>
      </c>
      <c r="D21" s="51"/>
      <c r="E21" s="51"/>
      <c r="F21" s="49" t="n">
        <f aca="false">C21+C22</f>
        <v>69.7857888</v>
      </c>
      <c r="H21" s="46" t="n">
        <v>43.18</v>
      </c>
      <c r="I21" s="47"/>
      <c r="J21" s="54"/>
    </row>
    <row r="22" customFormat="false" ht="24" hidden="false" customHeight="true" outlineLevel="0" collapsed="false">
      <c r="A22" s="10"/>
      <c r="B22" s="10" t="s">
        <v>14</v>
      </c>
      <c r="C22" s="50" t="n">
        <f aca="false">D3*1.2*1.3</f>
        <v>17.4504096</v>
      </c>
      <c r="D22" s="51"/>
      <c r="E22" s="51"/>
      <c r="F22" s="49"/>
      <c r="H22" s="46" t="n">
        <v>14.17</v>
      </c>
      <c r="I22" s="47"/>
      <c r="J22" s="54"/>
    </row>
    <row r="23" customFormat="false" ht="15" hidden="false" customHeight="true" outlineLevel="0" collapsed="false">
      <c r="A23" s="29"/>
      <c r="B23" s="30" t="s">
        <v>72</v>
      </c>
      <c r="C23" s="30"/>
      <c r="D23" s="30"/>
      <c r="E23" s="31" t="s">
        <v>44</v>
      </c>
      <c r="F23" s="31"/>
      <c r="H23" s="47"/>
      <c r="I23" s="47"/>
    </row>
    <row r="24" customFormat="false" ht="24" hidden="false" customHeight="true" outlineLevel="0" collapsed="false">
      <c r="A24" s="10" t="s">
        <v>47</v>
      </c>
      <c r="B24" s="10" t="s">
        <v>12</v>
      </c>
      <c r="C24" s="50" t="n">
        <f aca="false">B3*1*1.3</f>
        <v>43.612816</v>
      </c>
      <c r="D24" s="51"/>
      <c r="E24" s="51"/>
      <c r="F24" s="49" t="n">
        <f aca="false">C24+C25</f>
        <v>58.154824</v>
      </c>
      <c r="H24" s="46" t="n">
        <v>35.42</v>
      </c>
      <c r="I24" s="47"/>
      <c r="J24" s="54"/>
    </row>
    <row r="25" customFormat="false" ht="24" hidden="false" customHeight="true" outlineLevel="0" collapsed="false">
      <c r="A25" s="10"/>
      <c r="B25" s="10" t="s">
        <v>14</v>
      </c>
      <c r="C25" s="50" t="n">
        <f aca="false">D3*1*1.3</f>
        <v>14.542008</v>
      </c>
      <c r="D25" s="51"/>
      <c r="E25" s="51"/>
      <c r="F25" s="49"/>
      <c r="H25" s="46" t="n">
        <v>11.8</v>
      </c>
      <c r="I25" s="47"/>
      <c r="J25" s="54"/>
    </row>
    <row r="26" customFormat="false" ht="15" hidden="false" customHeight="true" outlineLevel="0" collapsed="false">
      <c r="A26" s="29"/>
      <c r="B26" s="30" t="s">
        <v>63</v>
      </c>
      <c r="C26" s="30"/>
      <c r="D26" s="30"/>
      <c r="E26" s="31" t="s">
        <v>44</v>
      </c>
      <c r="F26" s="31"/>
      <c r="H26" s="47"/>
      <c r="I26" s="47"/>
    </row>
    <row r="27" customFormat="false" ht="24" hidden="false" customHeight="true" outlineLevel="0" collapsed="false">
      <c r="A27" s="10" t="s">
        <v>49</v>
      </c>
      <c r="B27" s="10" t="s">
        <v>12</v>
      </c>
      <c r="C27" s="50" t="n">
        <f aca="false">B3*0.9*1.3</f>
        <v>39.2515344</v>
      </c>
      <c r="D27" s="51"/>
      <c r="E27" s="51"/>
      <c r="F27" s="49" t="n">
        <f aca="false">C27+C28</f>
        <v>52.3393416</v>
      </c>
      <c r="H27" s="46" t="n">
        <v>31.87</v>
      </c>
      <c r="I27" s="47"/>
      <c r="J27" s="54"/>
    </row>
    <row r="28" customFormat="false" ht="24" hidden="false" customHeight="true" outlineLevel="0" collapsed="false">
      <c r="A28" s="10"/>
      <c r="B28" s="10" t="s">
        <v>14</v>
      </c>
      <c r="C28" s="50" t="n">
        <f aca="false">D3*0.9*1.3</f>
        <v>13.0878072</v>
      </c>
      <c r="D28" s="51"/>
      <c r="E28" s="51"/>
      <c r="F28" s="49"/>
      <c r="H28" s="46" t="n">
        <v>10.63</v>
      </c>
      <c r="I28" s="47"/>
      <c r="J28" s="54"/>
    </row>
    <row r="29" customFormat="false" ht="35.4" hidden="false" customHeight="true" outlineLevel="0" collapsed="false">
      <c r="A29" s="38" t="s">
        <v>50</v>
      </c>
      <c r="B29" s="38"/>
      <c r="C29" s="38"/>
      <c r="D29" s="38"/>
      <c r="E29" s="38"/>
      <c r="F29" s="38"/>
    </row>
  </sheetData>
  <sheetProtection sheet="true" objects="true" scenarios="true"/>
  <mergeCells count="33">
    <mergeCell ref="A1:F1"/>
    <mergeCell ref="A2:F2"/>
    <mergeCell ref="D4:E4"/>
    <mergeCell ref="A5:E5"/>
    <mergeCell ref="B6:D6"/>
    <mergeCell ref="E6:F6"/>
    <mergeCell ref="A7:A8"/>
    <mergeCell ref="B9:F9"/>
    <mergeCell ref="B10:D10"/>
    <mergeCell ref="E10:F10"/>
    <mergeCell ref="A11:A12"/>
    <mergeCell ref="B13:F13"/>
    <mergeCell ref="B14:D14"/>
    <mergeCell ref="E14:F14"/>
    <mergeCell ref="A15:A16"/>
    <mergeCell ref="F15:F16"/>
    <mergeCell ref="B17:D17"/>
    <mergeCell ref="E17:F17"/>
    <mergeCell ref="A18:A19"/>
    <mergeCell ref="F18:F19"/>
    <mergeCell ref="B20:D20"/>
    <mergeCell ref="E20:F20"/>
    <mergeCell ref="A21:A22"/>
    <mergeCell ref="F21:F22"/>
    <mergeCell ref="B23:D23"/>
    <mergeCell ref="E23:F23"/>
    <mergeCell ref="A24:A25"/>
    <mergeCell ref="F24:F25"/>
    <mergeCell ref="B26:D26"/>
    <mergeCell ref="E26:F26"/>
    <mergeCell ref="A27:A28"/>
    <mergeCell ref="F27:F28"/>
    <mergeCell ref="A29:F29"/>
  </mergeCell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&amp;CPagina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29"/>
  <sheetViews>
    <sheetView showFormulas="false" showGridLines="true" showRowColHeaders="true" showZeros="true" rightToLeft="false" tabSelected="false" showOutlineSymbols="true" defaultGridColor="true" view="normal" topLeftCell="A1" colorId="64" zoomScale="82" zoomScaleNormal="82" zoomScalePageLayoutView="100" workbookViewId="0">
      <selection pane="topLeft" activeCell="C24" activeCellId="0" sqref="C24"/>
    </sheetView>
  </sheetViews>
  <sheetFormatPr defaultColWidth="8.625" defaultRowHeight="12.75" zeroHeight="false" outlineLevelRow="0" outlineLevelCol="0"/>
  <cols>
    <col collapsed="false" customWidth="true" hidden="false" outlineLevel="0" max="1" min="1" style="1" width="28.48"/>
    <col collapsed="false" customWidth="true" hidden="false" outlineLevel="0" max="2" min="2" style="1" width="18.49"/>
    <col collapsed="false" customWidth="true" hidden="false" outlineLevel="0" max="3" min="3" style="1" width="25.51"/>
    <col collapsed="false" customWidth="true" hidden="false" outlineLevel="0" max="4" min="4" style="1" width="18.49"/>
    <col collapsed="false" customWidth="true" hidden="false" outlineLevel="0" max="5" min="5" style="1" width="25.51"/>
    <col collapsed="false" customWidth="true" hidden="false" outlineLevel="0" max="6" min="6" style="1" width="18.49"/>
    <col collapsed="false" customWidth="true" hidden="false" outlineLevel="0" max="8" min="8" style="1" width="16.73"/>
  </cols>
  <sheetData>
    <row r="1" customFormat="false" ht="18" hidden="false" customHeight="true" outlineLevel="0" collapsed="false">
      <c r="A1" s="4" t="s">
        <v>23</v>
      </c>
      <c r="B1" s="4"/>
      <c r="C1" s="4"/>
      <c r="D1" s="4"/>
      <c r="E1" s="4"/>
      <c r="F1" s="4"/>
    </row>
    <row r="2" customFormat="false" ht="15.75" hidden="false" customHeight="true" outlineLevel="0" collapsed="false">
      <c r="A2" s="23" t="s">
        <v>70</v>
      </c>
      <c r="B2" s="23"/>
      <c r="C2" s="23"/>
      <c r="D2" s="23"/>
      <c r="E2" s="23"/>
      <c r="F2" s="23"/>
      <c r="H2" s="24" t="n">
        <f aca="false">1+F4</f>
        <v>1.016</v>
      </c>
      <c r="I2" s="45"/>
    </row>
    <row r="3" customFormat="false" ht="12.75" hidden="false" customHeight="true" outlineLevel="0" collapsed="false">
      <c r="A3" s="10" t="s">
        <v>25</v>
      </c>
      <c r="B3" s="11" t="n">
        <f aca="false">'A - RIFERIMENTO'!I13</f>
        <v>33.54832</v>
      </c>
      <c r="C3" s="8" t="s">
        <v>26</v>
      </c>
      <c r="D3" s="11" t="n">
        <f aca="false">'A - RIFERIMENTO'!I14</f>
        <v>11.18616</v>
      </c>
      <c r="E3" s="8" t="s">
        <v>27</v>
      </c>
      <c r="F3" s="49" t="n">
        <f aca="false">B3+D3</f>
        <v>44.73448</v>
      </c>
    </row>
    <row r="4" customFormat="false" ht="10.5" hidden="false" customHeight="true" outlineLevel="0" collapsed="false">
      <c r="A4" s="39"/>
      <c r="B4" s="40"/>
      <c r="C4" s="40"/>
      <c r="D4" s="27" t="s">
        <v>28</v>
      </c>
      <c r="E4" s="27"/>
      <c r="F4" s="28" t="n">
        <v>0.016</v>
      </c>
    </row>
    <row r="5" customFormat="false" ht="12.75" hidden="false" customHeight="true" outlineLevel="0" collapsed="false">
      <c r="A5" s="14"/>
      <c r="B5" s="14"/>
      <c r="C5" s="14"/>
      <c r="D5" s="14"/>
      <c r="E5" s="14"/>
      <c r="F5" s="12" t="s">
        <v>7</v>
      </c>
    </row>
    <row r="6" customFormat="false" ht="15" hidden="false" customHeight="true" outlineLevel="0" collapsed="false">
      <c r="A6" s="29"/>
      <c r="B6" s="30" t="s">
        <v>52</v>
      </c>
      <c r="C6" s="30"/>
      <c r="D6" s="30"/>
      <c r="E6" s="31" t="s">
        <v>30</v>
      </c>
      <c r="F6" s="31"/>
    </row>
    <row r="7" customFormat="false" ht="24" hidden="false" customHeight="true" outlineLevel="0" collapsed="false">
      <c r="A7" s="10" t="s">
        <v>53</v>
      </c>
      <c r="B7" s="10" t="s">
        <v>12</v>
      </c>
      <c r="C7" s="50" t="n">
        <f aca="false">B3*0.3*1</f>
        <v>10.064496</v>
      </c>
      <c r="D7" s="50" t="n">
        <f aca="false">B3*0.45*1</f>
        <v>15.096744</v>
      </c>
      <c r="E7" s="51"/>
      <c r="F7" s="49" t="n">
        <f aca="false">C7+C8</f>
        <v>13.420344</v>
      </c>
      <c r="H7" s="46"/>
      <c r="I7" s="46" t="n">
        <v>12.26</v>
      </c>
      <c r="J7" s="54"/>
    </row>
    <row r="8" customFormat="false" ht="24" hidden="false" customHeight="true" outlineLevel="0" collapsed="false">
      <c r="A8" s="10"/>
      <c r="B8" s="10" t="s">
        <v>14</v>
      </c>
      <c r="C8" s="50" t="n">
        <f aca="false">D3*0.3*1</f>
        <v>3.355848</v>
      </c>
      <c r="D8" s="50" t="n">
        <f aca="false">D3*0.45*1</f>
        <v>5.033772</v>
      </c>
      <c r="E8" s="51"/>
      <c r="F8" s="49" t="n">
        <f aca="false">D7+D8</f>
        <v>20.130516</v>
      </c>
      <c r="H8" s="46" t="n">
        <v>2.72</v>
      </c>
      <c r="I8" s="46" t="n">
        <v>4.09</v>
      </c>
      <c r="J8" s="54"/>
    </row>
    <row r="9" customFormat="false" ht="12.75" hidden="false" customHeight="true" outlineLevel="0" collapsed="false">
      <c r="A9" s="42"/>
      <c r="B9" s="43" t="s">
        <v>54</v>
      </c>
      <c r="C9" s="43"/>
      <c r="D9" s="43"/>
      <c r="E9" s="43"/>
      <c r="F9" s="43"/>
    </row>
    <row r="10" customFormat="false" ht="15" hidden="false" customHeight="true" outlineLevel="0" collapsed="false">
      <c r="A10" s="29"/>
      <c r="B10" s="30" t="s">
        <v>29</v>
      </c>
      <c r="C10" s="30"/>
      <c r="D10" s="30"/>
      <c r="E10" s="31" t="s">
        <v>30</v>
      </c>
      <c r="F10" s="31"/>
    </row>
    <row r="11" customFormat="false" ht="24" hidden="false" customHeight="true" outlineLevel="0" collapsed="false">
      <c r="A11" s="10" t="s">
        <v>33</v>
      </c>
      <c r="B11" s="10" t="s">
        <v>12</v>
      </c>
      <c r="C11" s="50" t="n">
        <f aca="false">B3*0.3*1</f>
        <v>10.064496</v>
      </c>
      <c r="D11" s="50" t="n">
        <f aca="false">B3*0.45*1</f>
        <v>15.096744</v>
      </c>
      <c r="E11" s="51"/>
      <c r="F11" s="49" t="n">
        <f aca="false">C11+C12</f>
        <v>13.420344</v>
      </c>
    </row>
    <row r="12" customFormat="false" ht="24" hidden="false" customHeight="true" outlineLevel="0" collapsed="false">
      <c r="A12" s="10"/>
      <c r="B12" s="10" t="s">
        <v>14</v>
      </c>
      <c r="C12" s="50" t="n">
        <f aca="false">D3*0.3*1</f>
        <v>3.355848</v>
      </c>
      <c r="D12" s="50" t="n">
        <f aca="false">D3*0.45*1</f>
        <v>5.033772</v>
      </c>
      <c r="E12" s="51"/>
      <c r="F12" s="49" t="n">
        <f aca="false">D11+D12</f>
        <v>20.130516</v>
      </c>
    </row>
    <row r="13" customFormat="false" ht="12.75" hidden="false" customHeight="true" outlineLevel="0" collapsed="false">
      <c r="A13" s="42"/>
      <c r="B13" s="43" t="s">
        <v>54</v>
      </c>
      <c r="C13" s="43"/>
      <c r="D13" s="43"/>
      <c r="E13" s="43"/>
      <c r="F13" s="43"/>
    </row>
    <row r="14" customFormat="false" ht="15" hidden="false" customHeight="true" outlineLevel="0" collapsed="false">
      <c r="A14" s="29"/>
      <c r="B14" s="30" t="s">
        <v>61</v>
      </c>
      <c r="C14" s="30"/>
      <c r="D14" s="30"/>
      <c r="E14" s="31" t="s">
        <v>56</v>
      </c>
      <c r="F14" s="31"/>
    </row>
    <row r="15" customFormat="false" ht="24" hidden="false" customHeight="true" outlineLevel="0" collapsed="false">
      <c r="A15" s="33" t="s">
        <v>35</v>
      </c>
      <c r="B15" s="33" t="s">
        <v>12</v>
      </c>
      <c r="C15" s="52" t="n">
        <f aca="false">B3*1.2*1.1</f>
        <v>44.2837824</v>
      </c>
      <c r="D15" s="52"/>
      <c r="E15" s="53"/>
      <c r="F15" s="52" t="n">
        <f aca="false">C15+C16</f>
        <v>59.0495136</v>
      </c>
      <c r="H15" s="46" t="n">
        <v>8.17</v>
      </c>
      <c r="I15" s="46" t="n">
        <v>12.26</v>
      </c>
      <c r="J15" s="54"/>
    </row>
    <row r="16" customFormat="false" ht="24" hidden="false" customHeight="true" outlineLevel="0" collapsed="false">
      <c r="A16" s="33"/>
      <c r="B16" s="33" t="s">
        <v>14</v>
      </c>
      <c r="C16" s="52" t="n">
        <f aca="false">D3*1.2*1.1</f>
        <v>14.7657312</v>
      </c>
      <c r="D16" s="52"/>
      <c r="E16" s="53"/>
      <c r="F16" s="52"/>
      <c r="H16" s="46" t="n">
        <v>2.72</v>
      </c>
      <c r="I16" s="46" t="n">
        <v>4.09</v>
      </c>
      <c r="J16" s="54"/>
    </row>
    <row r="17" customFormat="false" ht="15" hidden="false" customHeight="true" outlineLevel="0" collapsed="false">
      <c r="A17" s="29"/>
      <c r="B17" s="30" t="s">
        <v>65</v>
      </c>
      <c r="C17" s="30"/>
      <c r="D17" s="30"/>
      <c r="E17" s="31" t="s">
        <v>40</v>
      </c>
      <c r="F17" s="31"/>
    </row>
    <row r="18" customFormat="false" ht="24" hidden="false" customHeight="true" outlineLevel="0" collapsed="false">
      <c r="A18" s="10" t="s">
        <v>60</v>
      </c>
      <c r="B18" s="10" t="s">
        <v>12</v>
      </c>
      <c r="C18" s="50" t="n">
        <f aca="false">B3*0.8*1</f>
        <v>26.838656</v>
      </c>
      <c r="D18" s="51"/>
      <c r="E18" s="51"/>
      <c r="F18" s="49" t="n">
        <f aca="false">C18+C19</f>
        <v>35.787584</v>
      </c>
      <c r="H18" s="46" t="n">
        <v>28.34</v>
      </c>
      <c r="I18" s="47"/>
      <c r="J18" s="54"/>
    </row>
    <row r="19" customFormat="false" ht="24" hidden="false" customHeight="true" outlineLevel="0" collapsed="false">
      <c r="A19" s="10"/>
      <c r="B19" s="10" t="s">
        <v>14</v>
      </c>
      <c r="C19" s="50" t="n">
        <f aca="false">D3*0.8*1</f>
        <v>8.948928</v>
      </c>
      <c r="D19" s="51"/>
      <c r="E19" s="51"/>
      <c r="F19" s="49"/>
      <c r="H19" s="46" t="n">
        <v>9.44</v>
      </c>
      <c r="I19" s="47"/>
      <c r="J19" s="54"/>
    </row>
    <row r="20" customFormat="false" ht="15" hidden="false" customHeight="true" outlineLevel="0" collapsed="false">
      <c r="A20" s="29"/>
      <c r="B20" s="30" t="s">
        <v>61</v>
      </c>
      <c r="C20" s="30"/>
      <c r="D20" s="30"/>
      <c r="E20" s="31" t="s">
        <v>44</v>
      </c>
      <c r="F20" s="31"/>
    </row>
    <row r="21" customFormat="false" ht="24" hidden="false" customHeight="true" outlineLevel="0" collapsed="false">
      <c r="A21" s="10" t="s">
        <v>45</v>
      </c>
      <c r="B21" s="10" t="s">
        <v>12</v>
      </c>
      <c r="C21" s="50" t="n">
        <f aca="false">B3*1.2*1.3</f>
        <v>52.3353792</v>
      </c>
      <c r="D21" s="51"/>
      <c r="E21" s="51"/>
      <c r="F21" s="49" t="n">
        <f aca="false">C21+C22</f>
        <v>69.7857888</v>
      </c>
      <c r="H21" s="46" t="n">
        <v>43.18</v>
      </c>
      <c r="I21" s="47"/>
      <c r="J21" s="54"/>
    </row>
    <row r="22" customFormat="false" ht="24" hidden="false" customHeight="true" outlineLevel="0" collapsed="false">
      <c r="A22" s="10"/>
      <c r="B22" s="10" t="s">
        <v>14</v>
      </c>
      <c r="C22" s="50" t="n">
        <f aca="false">D3*1.2*1.3</f>
        <v>17.4504096</v>
      </c>
      <c r="D22" s="51"/>
      <c r="E22" s="51"/>
      <c r="F22" s="49"/>
      <c r="H22" s="46" t="n">
        <v>14.17</v>
      </c>
      <c r="I22" s="47"/>
      <c r="J22" s="54"/>
    </row>
    <row r="23" customFormat="false" ht="15" hidden="false" customHeight="true" outlineLevel="0" collapsed="false">
      <c r="A23" s="29"/>
      <c r="B23" s="30" t="s">
        <v>72</v>
      </c>
      <c r="C23" s="30"/>
      <c r="D23" s="30"/>
      <c r="E23" s="31" t="s">
        <v>44</v>
      </c>
      <c r="F23" s="31"/>
    </row>
    <row r="24" customFormat="false" ht="24" hidden="false" customHeight="true" outlineLevel="0" collapsed="false">
      <c r="A24" s="10" t="s">
        <v>47</v>
      </c>
      <c r="B24" s="10" t="s">
        <v>12</v>
      </c>
      <c r="C24" s="50" t="n">
        <f aca="false">B3*1*1.3</f>
        <v>43.612816</v>
      </c>
      <c r="D24" s="51"/>
      <c r="E24" s="51"/>
      <c r="F24" s="49" t="n">
        <f aca="false">C24+C25</f>
        <v>58.154824</v>
      </c>
      <c r="H24" s="46" t="n">
        <v>35.42</v>
      </c>
      <c r="I24" s="47"/>
      <c r="J24" s="54"/>
    </row>
    <row r="25" customFormat="false" ht="24" hidden="false" customHeight="true" outlineLevel="0" collapsed="false">
      <c r="A25" s="10"/>
      <c r="B25" s="10" t="s">
        <v>14</v>
      </c>
      <c r="C25" s="50" t="n">
        <f aca="false">D3*1*1.3</f>
        <v>14.542008</v>
      </c>
      <c r="D25" s="51"/>
      <c r="E25" s="51"/>
      <c r="F25" s="49"/>
      <c r="H25" s="46" t="n">
        <v>11.8</v>
      </c>
      <c r="I25" s="47"/>
      <c r="J25" s="54"/>
    </row>
    <row r="26" customFormat="false" ht="15" hidden="false" customHeight="true" outlineLevel="0" collapsed="false">
      <c r="A26" s="29"/>
      <c r="B26" s="30" t="s">
        <v>63</v>
      </c>
      <c r="C26" s="30"/>
      <c r="D26" s="30"/>
      <c r="E26" s="31" t="s">
        <v>44</v>
      </c>
      <c r="F26" s="31"/>
    </row>
    <row r="27" customFormat="false" ht="24" hidden="false" customHeight="true" outlineLevel="0" collapsed="false">
      <c r="A27" s="10" t="s">
        <v>49</v>
      </c>
      <c r="B27" s="10" t="s">
        <v>12</v>
      </c>
      <c r="C27" s="50" t="n">
        <f aca="false">B3*0.9*1.3</f>
        <v>39.2515344</v>
      </c>
      <c r="D27" s="51"/>
      <c r="E27" s="51"/>
      <c r="F27" s="49" t="n">
        <f aca="false">C27+C28</f>
        <v>52.3393416</v>
      </c>
      <c r="H27" s="46" t="n">
        <v>31.87</v>
      </c>
      <c r="I27" s="47"/>
      <c r="J27" s="54"/>
    </row>
    <row r="28" customFormat="false" ht="24" hidden="false" customHeight="true" outlineLevel="0" collapsed="false">
      <c r="A28" s="10"/>
      <c r="B28" s="10" t="s">
        <v>14</v>
      </c>
      <c r="C28" s="50" t="n">
        <f aca="false">D3*0.9*1.3</f>
        <v>13.0878072</v>
      </c>
      <c r="D28" s="51"/>
      <c r="E28" s="51"/>
      <c r="F28" s="49"/>
      <c r="H28" s="46" t="n">
        <v>10.63</v>
      </c>
      <c r="I28" s="47"/>
      <c r="J28" s="54"/>
    </row>
    <row r="29" customFormat="false" ht="35.4" hidden="false" customHeight="true" outlineLevel="0" collapsed="false">
      <c r="A29" s="38" t="s">
        <v>50</v>
      </c>
      <c r="B29" s="38"/>
      <c r="C29" s="38"/>
      <c r="D29" s="38"/>
      <c r="E29" s="38"/>
      <c r="F29" s="38"/>
    </row>
  </sheetData>
  <mergeCells count="33">
    <mergeCell ref="A1:F1"/>
    <mergeCell ref="A2:F2"/>
    <mergeCell ref="D4:E4"/>
    <mergeCell ref="A5:E5"/>
    <mergeCell ref="B6:D6"/>
    <mergeCell ref="E6:F6"/>
    <mergeCell ref="A7:A8"/>
    <mergeCell ref="B9:F9"/>
    <mergeCell ref="B10:D10"/>
    <mergeCell ref="E10:F10"/>
    <mergeCell ref="A11:A12"/>
    <mergeCell ref="B13:F13"/>
    <mergeCell ref="B14:D14"/>
    <mergeCell ref="E14:F14"/>
    <mergeCell ref="A15:A16"/>
    <mergeCell ref="F15:F16"/>
    <mergeCell ref="B17:D17"/>
    <mergeCell ref="E17:F17"/>
    <mergeCell ref="A18:A19"/>
    <mergeCell ref="F18:F19"/>
    <mergeCell ref="B20:D20"/>
    <mergeCell ref="E20:F20"/>
    <mergeCell ref="A21:A22"/>
    <mergeCell ref="F21:F22"/>
    <mergeCell ref="B23:D23"/>
    <mergeCell ref="E23:F23"/>
    <mergeCell ref="A24:A25"/>
    <mergeCell ref="F24:F25"/>
    <mergeCell ref="B26:D26"/>
    <mergeCell ref="E26:F26"/>
    <mergeCell ref="A27:A28"/>
    <mergeCell ref="F27:F28"/>
    <mergeCell ref="A29:F29"/>
  </mergeCells>
  <printOptions headings="false" gridLines="false" gridLinesSet="true" horizontalCentered="true" verticalCentered="false"/>
  <pageMargins left="0.7875" right="0.7875" top="1.05277777777778" bottom="1.05277777777778" header="0.7875" footer="0.7875"/>
  <pageSetup paperSize="8" scale="110" fitToWidth="1" fitToHeight="1" pageOrder="downThenOver" orientation="landscape" blackAndWhite="false" draft="false" cellComments="none" horizontalDpi="300" verticalDpi="300" copies="1"/>
  <headerFooter differentFirst="false" differentOddEven="false">
    <oddHeader>&amp;C&amp;"Times New Roman,Normale"&amp;12&amp;A</oddHeader>
    <oddFooter>&amp;C&amp;"Times New Roman,Normale"&amp;12Pagina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1"/>
  <sheetViews>
    <sheetView showFormulas="false" showGridLines="true" showRowColHeaders="true" showZeros="true" rightToLeft="false" tabSelected="false" showOutlineSymbols="true" defaultGridColor="true" view="normal" topLeftCell="A1" colorId="64" zoomScale="82" zoomScaleNormal="82" zoomScalePageLayoutView="100" workbookViewId="0">
      <selection pane="topLeft" activeCell="K7" activeCellId="0" sqref="K7"/>
    </sheetView>
  </sheetViews>
  <sheetFormatPr defaultColWidth="8.625" defaultRowHeight="12.75" zeroHeight="false" outlineLevelRow="0" outlineLevelCol="0"/>
  <cols>
    <col collapsed="false" customWidth="true" hidden="false" outlineLevel="0" max="2" min="1" style="1" width="20.51"/>
    <col collapsed="false" customWidth="true" hidden="false" outlineLevel="0" max="4" min="3" style="1" width="15.51"/>
    <col collapsed="false" customWidth="true" hidden="false" outlineLevel="0" max="6" min="5" style="1" width="10.51"/>
    <col collapsed="false" customWidth="true" hidden="false" outlineLevel="0" max="8" min="7" style="1" width="15.51"/>
    <col collapsed="false" customWidth="true" hidden="false" outlineLevel="0" max="10" min="9" style="1" width="10.51"/>
  </cols>
  <sheetData>
    <row r="1" customFormat="false" ht="18" hidden="false" customHeight="true" outlineLevel="0" collapsed="false">
      <c r="A1" s="55" t="s">
        <v>23</v>
      </c>
      <c r="B1" s="55"/>
      <c r="C1" s="55"/>
      <c r="D1" s="55"/>
      <c r="E1" s="55"/>
      <c r="F1" s="55"/>
      <c r="G1" s="55"/>
      <c r="H1" s="55"/>
      <c r="I1" s="55"/>
      <c r="J1" s="55"/>
    </row>
    <row r="2" customFormat="false" ht="9" hidden="false" customHeight="true" outlineLevel="0" collapsed="false">
      <c r="A2" s="56"/>
      <c r="B2" s="56"/>
      <c r="C2" s="56"/>
      <c r="D2" s="56"/>
      <c r="E2" s="56"/>
      <c r="F2" s="56"/>
      <c r="G2" s="56"/>
      <c r="H2" s="56"/>
      <c r="I2" s="56"/>
      <c r="J2" s="56"/>
    </row>
    <row r="3" customFormat="false" ht="44.85" hidden="false" customHeight="true" outlineLevel="0" collapsed="false">
      <c r="A3" s="57" t="s">
        <v>73</v>
      </c>
      <c r="B3" s="57"/>
      <c r="C3" s="57"/>
      <c r="D3" s="57"/>
      <c r="E3" s="57"/>
      <c r="F3" s="57"/>
      <c r="G3" s="57"/>
      <c r="H3" s="57"/>
      <c r="I3" s="57"/>
      <c r="J3" s="57"/>
    </row>
    <row r="4" customFormat="false" ht="12.75" hidden="false" customHeight="true" outlineLevel="0" collapsed="false">
      <c r="A4" s="22"/>
      <c r="B4" s="22"/>
      <c r="C4" s="22"/>
      <c r="D4" s="22"/>
      <c r="E4" s="22"/>
      <c r="F4" s="22"/>
      <c r="G4" s="22"/>
      <c r="H4" s="22"/>
      <c r="I4" s="22"/>
      <c r="J4" s="22"/>
    </row>
    <row r="5" customFormat="false" ht="12.75" hidden="false" customHeight="true" outlineLevel="0" collapsed="false">
      <c r="A5" s="10" t="s">
        <v>25</v>
      </c>
      <c r="B5" s="10"/>
      <c r="C5" s="58" t="n">
        <f aca="false">'A - RIFERIMENTO'!I6</f>
        <v>14.38656</v>
      </c>
      <c r="D5" s="10" t="s">
        <v>26</v>
      </c>
      <c r="E5" s="10"/>
      <c r="F5" s="59" t="n">
        <f aca="false">'A - RIFERIMENTO'!I7</f>
        <v>41.5544</v>
      </c>
      <c r="G5" s="8" t="s">
        <v>27</v>
      </c>
      <c r="H5" s="8"/>
      <c r="I5" s="50" t="n">
        <f aca="false">C5+F5</f>
        <v>55.94096</v>
      </c>
      <c r="J5" s="50"/>
    </row>
    <row r="6" customFormat="false" ht="12.75" hidden="false" customHeight="true" outlineLevel="0" collapsed="false">
      <c r="A6" s="14"/>
      <c r="B6" s="14"/>
      <c r="C6" s="14"/>
      <c r="D6" s="14"/>
      <c r="E6" s="14"/>
      <c r="F6" s="14"/>
      <c r="G6" s="14"/>
      <c r="H6" s="14"/>
      <c r="I6" s="14"/>
      <c r="J6" s="14"/>
    </row>
    <row r="7" customFormat="false" ht="38.25" hidden="false" customHeight="true" outlineLevel="0" collapsed="false">
      <c r="A7" s="60" t="s">
        <v>74</v>
      </c>
      <c r="B7" s="10" t="s">
        <v>75</v>
      </c>
      <c r="C7" s="10" t="s">
        <v>76</v>
      </c>
      <c r="D7" s="10"/>
      <c r="E7" s="10"/>
      <c r="F7" s="10"/>
      <c r="G7" s="10" t="s">
        <v>77</v>
      </c>
      <c r="H7" s="10"/>
      <c r="I7" s="10"/>
      <c r="J7" s="10"/>
    </row>
    <row r="8" customFormat="false" ht="12.75" hidden="false" customHeight="true" outlineLevel="0" collapsed="false">
      <c r="A8" s="61"/>
      <c r="B8" s="10"/>
      <c r="C8" s="7" t="s">
        <v>78</v>
      </c>
      <c r="D8" s="1" t="s">
        <v>79</v>
      </c>
      <c r="E8" s="43" t="s">
        <v>80</v>
      </c>
      <c r="F8" s="43"/>
      <c r="G8" s="1" t="s">
        <v>78</v>
      </c>
      <c r="H8" s="1" t="s">
        <v>79</v>
      </c>
      <c r="I8" s="7" t="s">
        <v>80</v>
      </c>
      <c r="J8" s="7"/>
    </row>
    <row r="9" customFormat="false" ht="12.75" hidden="false" customHeight="true" outlineLevel="0" collapsed="false">
      <c r="A9" s="62" t="s">
        <v>81</v>
      </c>
      <c r="B9" s="10" t="s">
        <v>82</v>
      </c>
      <c r="C9" s="10" t="n">
        <v>0.95</v>
      </c>
      <c r="D9" s="10" t="n">
        <v>1.2</v>
      </c>
      <c r="E9" s="43" t="s">
        <v>83</v>
      </c>
      <c r="F9" s="63" t="n">
        <f aca="false">C5*C9*D9</f>
        <v>16.4006784</v>
      </c>
      <c r="G9" s="10" t="n">
        <v>0.9</v>
      </c>
      <c r="H9" s="10" t="n">
        <v>1.2</v>
      </c>
      <c r="I9" s="43" t="s">
        <v>83</v>
      </c>
      <c r="J9" s="63" t="n">
        <f aca="false">C5*G9*H9</f>
        <v>15.5374848</v>
      </c>
    </row>
    <row r="10" customFormat="false" ht="12.75" hidden="false" customHeight="true" outlineLevel="0" collapsed="false">
      <c r="A10" s="62"/>
      <c r="B10" s="10"/>
      <c r="C10" s="10"/>
      <c r="D10" s="10"/>
      <c r="E10" s="43" t="s">
        <v>84</v>
      </c>
      <c r="F10" s="49" t="n">
        <f aca="false">F5*C9*D9</f>
        <v>47.372016</v>
      </c>
      <c r="G10" s="10"/>
      <c r="H10" s="10"/>
      <c r="I10" s="43" t="s">
        <v>84</v>
      </c>
      <c r="J10" s="63" t="n">
        <f aca="false">F5*G9*H9</f>
        <v>44.878752</v>
      </c>
    </row>
    <row r="11" customFormat="false" ht="12.75" hidden="false" customHeight="true" outlineLevel="0" collapsed="false">
      <c r="A11" s="62"/>
      <c r="B11" s="10"/>
      <c r="C11" s="10"/>
      <c r="D11" s="10"/>
      <c r="E11" s="43" t="s">
        <v>85</v>
      </c>
      <c r="F11" s="49" t="n">
        <f aca="false">F9+F10</f>
        <v>63.7726944</v>
      </c>
      <c r="G11" s="10"/>
      <c r="H11" s="10"/>
      <c r="I11" s="43" t="s">
        <v>85</v>
      </c>
      <c r="J11" s="63" t="n">
        <f aca="false">J9+J10</f>
        <v>60.4162368</v>
      </c>
    </row>
    <row r="12" customFormat="false" ht="12.75" hidden="false" customHeight="true" outlineLevel="0" collapsed="false">
      <c r="A12" s="62"/>
      <c r="B12" s="10" t="s">
        <v>86</v>
      </c>
      <c r="C12" s="10" t="n">
        <v>0.85</v>
      </c>
      <c r="D12" s="10" t="n">
        <v>1.2</v>
      </c>
      <c r="E12" s="43" t="s">
        <v>83</v>
      </c>
      <c r="F12" s="64" t="n">
        <f aca="false">C5*C12*D12</f>
        <v>14.6742912</v>
      </c>
      <c r="G12" s="10" t="n">
        <v>0.8</v>
      </c>
      <c r="H12" s="10" t="n">
        <v>1.2</v>
      </c>
      <c r="I12" s="43" t="s">
        <v>83</v>
      </c>
      <c r="J12" s="63" t="n">
        <f aca="false">C5*G12*H12</f>
        <v>13.8110976</v>
      </c>
    </row>
    <row r="13" customFormat="false" ht="12.75" hidden="false" customHeight="true" outlineLevel="0" collapsed="false">
      <c r="A13" s="62"/>
      <c r="B13" s="10"/>
      <c r="C13" s="10"/>
      <c r="D13" s="10"/>
      <c r="E13" s="43" t="s">
        <v>84</v>
      </c>
      <c r="F13" s="49" t="n">
        <f aca="false">F5*C12*D12</f>
        <v>42.385488</v>
      </c>
      <c r="G13" s="10"/>
      <c r="H13" s="10"/>
      <c r="I13" s="43" t="s">
        <v>84</v>
      </c>
      <c r="J13" s="63" t="n">
        <f aca="false">F5*G12*H12</f>
        <v>39.892224</v>
      </c>
    </row>
    <row r="14" customFormat="false" ht="12.75" hidden="false" customHeight="true" outlineLevel="0" collapsed="false">
      <c r="A14" s="62"/>
      <c r="B14" s="10"/>
      <c r="C14" s="10"/>
      <c r="D14" s="10"/>
      <c r="E14" s="43" t="s">
        <v>85</v>
      </c>
      <c r="F14" s="49" t="n">
        <f aca="false">F12+F13</f>
        <v>57.0597792</v>
      </c>
      <c r="G14" s="10"/>
      <c r="H14" s="10"/>
      <c r="I14" s="43" t="s">
        <v>85</v>
      </c>
      <c r="J14" s="63" t="n">
        <f aca="false">J12+J13</f>
        <v>53.7033216</v>
      </c>
    </row>
    <row r="15" customFormat="false" ht="12.75" hidden="false" customHeight="true" outlineLevel="0" collapsed="false">
      <c r="A15" s="62" t="s">
        <v>87</v>
      </c>
      <c r="B15" s="10" t="s">
        <v>82</v>
      </c>
      <c r="C15" s="10" t="n">
        <v>0.95</v>
      </c>
      <c r="D15" s="10" t="n">
        <v>1</v>
      </c>
      <c r="E15" s="43" t="s">
        <v>83</v>
      </c>
      <c r="F15" s="64" t="n">
        <f aca="false">C5*C15*D15</f>
        <v>13.667232</v>
      </c>
      <c r="G15" s="10" t="n">
        <v>0.9</v>
      </c>
      <c r="H15" s="10" t="n">
        <v>1</v>
      </c>
      <c r="I15" s="43" t="s">
        <v>83</v>
      </c>
      <c r="J15" s="63" t="n">
        <f aca="false">C5*G15*H15</f>
        <v>12.947904</v>
      </c>
    </row>
    <row r="16" customFormat="false" ht="12.75" hidden="false" customHeight="true" outlineLevel="0" collapsed="false">
      <c r="A16" s="62"/>
      <c r="B16" s="10"/>
      <c r="C16" s="10"/>
      <c r="D16" s="10"/>
      <c r="E16" s="43" t="s">
        <v>84</v>
      </c>
      <c r="F16" s="49" t="n">
        <f aca="false">F5*C15*D15</f>
        <v>39.47668</v>
      </c>
      <c r="G16" s="10"/>
      <c r="H16" s="10"/>
      <c r="I16" s="43" t="s">
        <v>84</v>
      </c>
      <c r="J16" s="63" t="n">
        <f aca="false">F5*G15*H15</f>
        <v>37.39896</v>
      </c>
    </row>
    <row r="17" customFormat="false" ht="12.75" hidden="false" customHeight="true" outlineLevel="0" collapsed="false">
      <c r="A17" s="62"/>
      <c r="B17" s="10"/>
      <c r="C17" s="10"/>
      <c r="D17" s="10"/>
      <c r="E17" s="43" t="s">
        <v>85</v>
      </c>
      <c r="F17" s="49" t="n">
        <f aca="false">F15+F16</f>
        <v>53.143912</v>
      </c>
      <c r="G17" s="10"/>
      <c r="H17" s="10"/>
      <c r="I17" s="43" t="s">
        <v>85</v>
      </c>
      <c r="J17" s="63" t="n">
        <f aca="false">J15+J16</f>
        <v>50.346864</v>
      </c>
    </row>
    <row r="18" customFormat="false" ht="12.75" hidden="false" customHeight="true" outlineLevel="0" collapsed="false">
      <c r="A18" s="62"/>
      <c r="B18" s="10" t="s">
        <v>86</v>
      </c>
      <c r="C18" s="10" t="n">
        <v>0.85</v>
      </c>
      <c r="D18" s="10" t="n">
        <v>1</v>
      </c>
      <c r="E18" s="43" t="s">
        <v>83</v>
      </c>
      <c r="F18" s="64" t="n">
        <f aca="false">C5*C18*D18</f>
        <v>12.228576</v>
      </c>
      <c r="G18" s="10" t="n">
        <v>0.8</v>
      </c>
      <c r="H18" s="10" t="n">
        <v>1</v>
      </c>
      <c r="I18" s="43" t="s">
        <v>83</v>
      </c>
      <c r="J18" s="63" t="n">
        <f aca="false">C5*G18*H18</f>
        <v>11.509248</v>
      </c>
    </row>
    <row r="19" customFormat="false" ht="12.75" hidden="false" customHeight="true" outlineLevel="0" collapsed="false">
      <c r="A19" s="62"/>
      <c r="B19" s="10"/>
      <c r="C19" s="10"/>
      <c r="D19" s="10"/>
      <c r="E19" s="43" t="s">
        <v>84</v>
      </c>
      <c r="F19" s="49" t="n">
        <f aca="false">F5*C18*D18</f>
        <v>35.32124</v>
      </c>
      <c r="G19" s="10"/>
      <c r="H19" s="10"/>
      <c r="I19" s="43" t="s">
        <v>84</v>
      </c>
      <c r="J19" s="63" t="n">
        <f aca="false">F5*G18*H18</f>
        <v>33.24352</v>
      </c>
    </row>
    <row r="20" customFormat="false" ht="12.75" hidden="false" customHeight="true" outlineLevel="0" collapsed="false">
      <c r="A20" s="62"/>
      <c r="B20" s="10"/>
      <c r="C20" s="10"/>
      <c r="D20" s="10"/>
      <c r="E20" s="43" t="s">
        <v>85</v>
      </c>
      <c r="F20" s="49" t="n">
        <f aca="false">F18+F19</f>
        <v>47.549816</v>
      </c>
      <c r="G20" s="10"/>
      <c r="H20" s="10"/>
      <c r="I20" s="43" t="s">
        <v>85</v>
      </c>
      <c r="J20" s="63" t="n">
        <f aca="false">J18+J19</f>
        <v>44.752768</v>
      </c>
    </row>
    <row r="21" customFormat="false" ht="12.75" hidden="false" customHeight="true" outlineLevel="0" collapsed="false">
      <c r="A21" s="62" t="s">
        <v>88</v>
      </c>
      <c r="B21" s="10" t="s">
        <v>82</v>
      </c>
      <c r="C21" s="10" t="n">
        <v>0.95</v>
      </c>
      <c r="D21" s="10" t="n">
        <v>0.9</v>
      </c>
      <c r="E21" s="43" t="s">
        <v>83</v>
      </c>
      <c r="F21" s="64" t="n">
        <f aca="false">C5*C21*D21</f>
        <v>12.3005088</v>
      </c>
      <c r="G21" s="10" t="n">
        <v>0.9</v>
      </c>
      <c r="H21" s="10" t="n">
        <v>0.9</v>
      </c>
      <c r="I21" s="43" t="s">
        <v>83</v>
      </c>
      <c r="J21" s="63" t="n">
        <f aca="false">C5*G21*H21</f>
        <v>11.6531136</v>
      </c>
    </row>
    <row r="22" customFormat="false" ht="12.75" hidden="false" customHeight="true" outlineLevel="0" collapsed="false">
      <c r="A22" s="62"/>
      <c r="B22" s="10"/>
      <c r="C22" s="10"/>
      <c r="D22" s="10"/>
      <c r="E22" s="43" t="s">
        <v>84</v>
      </c>
      <c r="F22" s="64" t="n">
        <f aca="false">F5*C21*D21</f>
        <v>35.529012</v>
      </c>
      <c r="G22" s="10"/>
      <c r="H22" s="10"/>
      <c r="I22" s="43" t="s">
        <v>84</v>
      </c>
      <c r="J22" s="63" t="n">
        <f aca="false">F5*G21*H21</f>
        <v>33.659064</v>
      </c>
    </row>
    <row r="23" customFormat="false" ht="12.75" hidden="false" customHeight="true" outlineLevel="0" collapsed="false">
      <c r="A23" s="62"/>
      <c r="B23" s="10"/>
      <c r="C23" s="10"/>
      <c r="D23" s="10"/>
      <c r="E23" s="43" t="s">
        <v>85</v>
      </c>
      <c r="F23" s="64" t="n">
        <f aca="false">F21+F22</f>
        <v>47.8295208</v>
      </c>
      <c r="G23" s="10"/>
      <c r="H23" s="10"/>
      <c r="I23" s="43" t="s">
        <v>85</v>
      </c>
      <c r="J23" s="63" t="n">
        <f aca="false">J21+J22</f>
        <v>45.3121776</v>
      </c>
    </row>
    <row r="24" customFormat="false" ht="12.75" hidden="false" customHeight="true" outlineLevel="0" collapsed="false">
      <c r="A24" s="62"/>
      <c r="B24" s="10" t="s">
        <v>86</v>
      </c>
      <c r="C24" s="10" t="n">
        <v>0.85</v>
      </c>
      <c r="D24" s="10" t="n">
        <v>0.9</v>
      </c>
      <c r="E24" s="43" t="s">
        <v>83</v>
      </c>
      <c r="F24" s="64" t="n">
        <f aca="false">C5*C24*D24</f>
        <v>11.0057184</v>
      </c>
      <c r="G24" s="10" t="n">
        <v>0.8</v>
      </c>
      <c r="H24" s="10" t="n">
        <v>0.9</v>
      </c>
      <c r="I24" s="43" t="s">
        <v>83</v>
      </c>
      <c r="J24" s="63" t="n">
        <f aca="false">C5*G24*H24</f>
        <v>10.3583232</v>
      </c>
    </row>
    <row r="25" customFormat="false" ht="12.75" hidden="false" customHeight="true" outlineLevel="0" collapsed="false">
      <c r="A25" s="62"/>
      <c r="B25" s="10"/>
      <c r="C25" s="10"/>
      <c r="D25" s="10"/>
      <c r="E25" s="43" t="s">
        <v>84</v>
      </c>
      <c r="F25" s="64" t="n">
        <f aca="false">F5*C24*D24</f>
        <v>31.789116</v>
      </c>
      <c r="G25" s="10"/>
      <c r="H25" s="10"/>
      <c r="I25" s="43" t="s">
        <v>84</v>
      </c>
      <c r="J25" s="63" t="n">
        <f aca="false">F5*G24*H24</f>
        <v>29.919168</v>
      </c>
    </row>
    <row r="26" customFormat="false" ht="12.75" hidden="false" customHeight="true" outlineLevel="0" collapsed="false">
      <c r="A26" s="62"/>
      <c r="B26" s="10"/>
      <c r="C26" s="10"/>
      <c r="D26" s="10"/>
      <c r="E26" s="43" t="s">
        <v>85</v>
      </c>
      <c r="F26" s="64" t="n">
        <f aca="false">F24+F25</f>
        <v>42.7948344</v>
      </c>
      <c r="G26" s="10"/>
      <c r="H26" s="10"/>
      <c r="I26" s="43" t="s">
        <v>85</v>
      </c>
      <c r="J26" s="63" t="n">
        <f aca="false">J24+J25</f>
        <v>40.2774912</v>
      </c>
    </row>
    <row r="28" customFormat="false" ht="14.7" hidden="false" customHeight="true" outlineLevel="0" collapsed="false"/>
    <row r="29" customFormat="false" ht="14.7" hidden="false" customHeight="true" outlineLevel="0" collapsed="false"/>
    <row r="30" customFormat="false" ht="14.7" hidden="false" customHeight="true" outlineLevel="0" collapsed="false"/>
    <row r="31" customFormat="false" ht="14.7" hidden="false" customHeight="true" outlineLevel="0" collapsed="false"/>
  </sheetData>
  <sheetProtection sheet="true" objects="true" scenarios="true"/>
  <mergeCells count="47">
    <mergeCell ref="A1:J1"/>
    <mergeCell ref="A2:J2"/>
    <mergeCell ref="A3:J3"/>
    <mergeCell ref="A4:J4"/>
    <mergeCell ref="A5:B5"/>
    <mergeCell ref="D5:E5"/>
    <mergeCell ref="G5:H5"/>
    <mergeCell ref="I5:J5"/>
    <mergeCell ref="A6:J6"/>
    <mergeCell ref="B7:B8"/>
    <mergeCell ref="C7:F7"/>
    <mergeCell ref="G7:J7"/>
    <mergeCell ref="E8:F8"/>
    <mergeCell ref="I8:J8"/>
    <mergeCell ref="A9:A14"/>
    <mergeCell ref="B9:B11"/>
    <mergeCell ref="C9:C11"/>
    <mergeCell ref="D9:D11"/>
    <mergeCell ref="G9:G11"/>
    <mergeCell ref="H9:H11"/>
    <mergeCell ref="B12:B14"/>
    <mergeCell ref="C12:C14"/>
    <mergeCell ref="D12:D14"/>
    <mergeCell ref="G12:G14"/>
    <mergeCell ref="H12:H14"/>
    <mergeCell ref="A15:A20"/>
    <mergeCell ref="B15:B17"/>
    <mergeCell ref="C15:C17"/>
    <mergeCell ref="D15:D17"/>
    <mergeCell ref="G15:G17"/>
    <mergeCell ref="H15:H17"/>
    <mergeCell ref="B18:B20"/>
    <mergeCell ref="C18:C20"/>
    <mergeCell ref="D18:D20"/>
    <mergeCell ref="G18:G20"/>
    <mergeCell ref="H18:H20"/>
    <mergeCell ref="A21:A26"/>
    <mergeCell ref="B21:B23"/>
    <mergeCell ref="C21:C23"/>
    <mergeCell ref="D21:D23"/>
    <mergeCell ref="G21:G23"/>
    <mergeCell ref="H21:H23"/>
    <mergeCell ref="B24:B26"/>
    <mergeCell ref="C24:C26"/>
    <mergeCell ref="D24:D26"/>
    <mergeCell ref="G24:G26"/>
    <mergeCell ref="H24:H26"/>
  </mergeCells>
  <printOptions headings="false" gridLines="false" gridLinesSet="true" horizontalCentered="true" verticalCentered="false"/>
  <pageMargins left="0.7875" right="0.7875" top="1.05277777777778" bottom="1.05277777777778" header="0.7875" footer="0.7875"/>
  <pageSetup paperSize="8" scale="105" fitToWidth="1" fitToHeight="1" pageOrder="downThenOver" orientation="landscape" blackAndWhite="false" draft="false" cellComments="none" horizontalDpi="300" verticalDpi="300" copies="1"/>
  <headerFooter differentFirst="false" differentOddEven="false">
    <oddHeader>&amp;C&amp;"Times New Roman,Normale"&amp;12&amp;A</oddHeader>
    <oddFooter>&amp;C&amp;"Times New Roman,Normale"&amp;12Pagina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5"/>
  <sheetViews>
    <sheetView showFormulas="false" showGridLines="true" showRowColHeaders="true" showZeros="true" rightToLeft="false" tabSelected="false" showOutlineSymbols="true" defaultGridColor="true" view="normal" topLeftCell="A1" colorId="64" zoomScale="82" zoomScaleNormal="82" zoomScalePageLayoutView="100" workbookViewId="0">
      <selection pane="topLeft" activeCell="A1" activeCellId="0" sqref="A1"/>
    </sheetView>
  </sheetViews>
  <sheetFormatPr defaultColWidth="8.625" defaultRowHeight="14.7" zeroHeight="false" outlineLevelRow="0" outlineLevelCol="0"/>
  <cols>
    <col collapsed="false" customWidth="true" hidden="false" outlineLevel="0" max="1" min="1" style="1" width="45.96"/>
    <col collapsed="false" customWidth="true" hidden="false" outlineLevel="0" max="2" min="2" style="1" width="51.51"/>
    <col collapsed="false" customWidth="true" hidden="false" outlineLevel="0" max="3" min="3" style="1" width="42.94"/>
    <col collapsed="false" customWidth="true" hidden="false" outlineLevel="0" max="4" min="4" style="1" width="8.06"/>
    <col collapsed="false" customWidth="true" hidden="false" outlineLevel="0" max="5" min="5" style="1" width="44.73"/>
  </cols>
  <sheetData>
    <row r="1" customFormat="false" ht="43.5" hidden="false" customHeight="true" outlineLevel="0" collapsed="false">
      <c r="A1" s="65" t="s">
        <v>89</v>
      </c>
      <c r="B1" s="65"/>
      <c r="C1" s="65"/>
      <c r="D1" s="65"/>
      <c r="E1" s="65"/>
    </row>
    <row r="2" customFormat="false" ht="10.5" hidden="false" customHeight="true" outlineLevel="0" collapsed="false">
      <c r="A2" s="39"/>
      <c r="B2" s="40"/>
      <c r="C2" s="66" t="s">
        <v>90</v>
      </c>
      <c r="D2" s="66"/>
      <c r="E2" s="66"/>
      <c r="F2" s="67" t="n">
        <v>1.016</v>
      </c>
    </row>
    <row r="3" customFormat="false" ht="15" hidden="false" customHeight="true" outlineLevel="0" collapsed="false">
      <c r="A3" s="29"/>
      <c r="B3" s="30"/>
      <c r="C3" s="30"/>
      <c r="D3" s="30"/>
      <c r="E3" s="17"/>
    </row>
    <row r="4" customFormat="false" ht="24" hidden="false" customHeight="true" outlineLevel="0" collapsed="false">
      <c r="A4" s="10" t="s">
        <v>91</v>
      </c>
      <c r="B4" s="10" t="s">
        <v>92</v>
      </c>
      <c r="C4" s="52" t="n">
        <f aca="false">23.68*F2</f>
        <v>24.05888</v>
      </c>
      <c r="D4" s="68" t="s">
        <v>13</v>
      </c>
      <c r="E4" s="10"/>
    </row>
    <row r="5" customFormat="false" ht="24" hidden="false" customHeight="true" outlineLevel="0" collapsed="false">
      <c r="A5" s="10"/>
      <c r="B5" s="10" t="s">
        <v>93</v>
      </c>
      <c r="C5" s="52" t="n">
        <f aca="false">12.17*F2</f>
        <v>12.36472</v>
      </c>
      <c r="D5" s="68" t="s">
        <v>13</v>
      </c>
      <c r="E5" s="10"/>
    </row>
    <row r="6" customFormat="false" ht="15" hidden="false" customHeight="true" outlineLevel="0" collapsed="false">
      <c r="A6" s="29"/>
      <c r="B6" s="30"/>
      <c r="C6" s="30"/>
      <c r="D6" s="30"/>
      <c r="E6" s="18"/>
    </row>
    <row r="7" customFormat="false" ht="24" hidden="false" customHeight="true" outlineLevel="0" collapsed="false">
      <c r="A7" s="10" t="s">
        <v>94</v>
      </c>
      <c r="B7" s="33" t="s">
        <v>92</v>
      </c>
      <c r="C7" s="52" t="n">
        <f aca="false">55.8*F2</f>
        <v>56.6928</v>
      </c>
      <c r="D7" s="68" t="s">
        <v>13</v>
      </c>
      <c r="E7" s="10"/>
      <c r="F7" s="34"/>
    </row>
    <row r="8" customFormat="false" ht="34.2" hidden="false" customHeight="true" outlineLevel="0" collapsed="false">
      <c r="A8" s="10"/>
      <c r="B8" s="33" t="s">
        <v>93</v>
      </c>
      <c r="C8" s="52" t="n">
        <f aca="false">28.69*F2</f>
        <v>29.14904</v>
      </c>
      <c r="D8" s="68" t="s">
        <v>13</v>
      </c>
      <c r="E8" s="10"/>
      <c r="F8" s="34"/>
    </row>
    <row r="9" customFormat="false" ht="15" hidden="false" customHeight="true" outlineLevel="0" collapsed="false">
      <c r="A9" s="29"/>
      <c r="B9" s="30" t="s">
        <v>95</v>
      </c>
      <c r="C9" s="30"/>
      <c r="D9" s="30"/>
      <c r="E9" s="17"/>
    </row>
    <row r="10" customFormat="false" ht="24" hidden="false" customHeight="true" outlineLevel="0" collapsed="false">
      <c r="A10" s="33" t="s">
        <v>96</v>
      </c>
      <c r="B10" s="33" t="s">
        <v>97</v>
      </c>
      <c r="C10" s="52" t="n">
        <f aca="false">55.94*1.2*0.9</f>
        <v>60.4152</v>
      </c>
      <c r="D10" s="68" t="s">
        <v>13</v>
      </c>
      <c r="E10" s="22"/>
      <c r="F10" s="34"/>
    </row>
    <row r="11" customFormat="false" ht="24" hidden="false" customHeight="true" outlineLevel="0" collapsed="false">
      <c r="A11" s="33"/>
      <c r="B11" s="33" t="s">
        <v>98</v>
      </c>
      <c r="C11" s="52" t="n">
        <f aca="false">28.75*1.2*0.9</f>
        <v>31.05</v>
      </c>
      <c r="D11" s="68" t="s">
        <v>13</v>
      </c>
      <c r="E11" s="22"/>
      <c r="F11" s="34"/>
    </row>
    <row r="12" customFormat="false" ht="15" hidden="false" customHeight="true" outlineLevel="0" collapsed="false">
      <c r="A12" s="29"/>
      <c r="B12" s="30" t="s">
        <v>99</v>
      </c>
      <c r="C12" s="30"/>
      <c r="D12" s="30"/>
      <c r="E12" s="17"/>
    </row>
    <row r="13" customFormat="false" ht="24" hidden="false" customHeight="true" outlineLevel="0" collapsed="false">
      <c r="A13" s="33" t="s">
        <v>100</v>
      </c>
      <c r="B13" s="33" t="s">
        <v>12</v>
      </c>
      <c r="C13" s="52" t="n">
        <f aca="false">19.18*1.2*0.5</f>
        <v>11.508</v>
      </c>
      <c r="D13" s="68" t="s">
        <v>17</v>
      </c>
      <c r="E13" s="10" t="s">
        <v>101</v>
      </c>
      <c r="F13" s="34"/>
    </row>
    <row r="14" customFormat="false" ht="24" hidden="false" customHeight="true" outlineLevel="0" collapsed="false">
      <c r="A14" s="33"/>
      <c r="B14" s="33" t="s">
        <v>14</v>
      </c>
      <c r="C14" s="52" t="n">
        <f aca="false">17.58*1.2*0.5</f>
        <v>10.548</v>
      </c>
      <c r="D14" s="68" t="s">
        <v>17</v>
      </c>
      <c r="E14" s="10"/>
      <c r="F14" s="34"/>
    </row>
    <row r="15" customFormat="false" ht="24.3" hidden="false" customHeight="true" outlineLevel="0" collapsed="false">
      <c r="A15" s="38" t="s">
        <v>50</v>
      </c>
      <c r="B15" s="38"/>
      <c r="C15" s="38"/>
      <c r="D15" s="38"/>
      <c r="E15" s="38"/>
    </row>
  </sheetData>
  <sheetProtection sheet="true" objects="true" scenarios="true"/>
  <mergeCells count="14">
    <mergeCell ref="A1:E1"/>
    <mergeCell ref="C2:E2"/>
    <mergeCell ref="B3:D3"/>
    <mergeCell ref="A4:A5"/>
    <mergeCell ref="E4:E5"/>
    <mergeCell ref="B6:D6"/>
    <mergeCell ref="A7:A8"/>
    <mergeCell ref="E7:E8"/>
    <mergeCell ref="B9:D9"/>
    <mergeCell ref="A10:A11"/>
    <mergeCell ref="B12:D12"/>
    <mergeCell ref="A13:A14"/>
    <mergeCell ref="E13:E14"/>
    <mergeCell ref="A15:E15"/>
  </mergeCells>
  <printOptions headings="false" gridLines="false" gridLinesSet="true" horizontalCentered="true" verticalCentered="false"/>
  <pageMargins left="0.7875" right="0.7875" top="1.05277777777778" bottom="1.05277777777778" header="0.7875" footer="0.7875"/>
  <pageSetup paperSize="8" scale="95" fitToWidth="1" fitToHeight="1" pageOrder="downThenOver" orientation="landscape" blackAndWhite="false" draft="false" cellComments="none" horizontalDpi="300" verticalDpi="300" copies="1"/>
  <headerFooter differentFirst="false" differentOddEven="false">
    <oddHeader>&amp;C&amp;"Times New Roman,Normale"&amp;12&amp;A</oddHeader>
    <oddFooter>&amp;C&amp;"Times New Roman,Normale"&amp;12Pagina &amp;P</oddFooter>
  </headerFooter>
</worksheet>
</file>

<file path=docProps/app.xml><?xml version="1.0" encoding="utf-8"?>
<Properties xmlns="http://schemas.openxmlformats.org/officeDocument/2006/extended-properties" xmlns:vt="http://schemas.openxmlformats.org/officeDocument/2006/docPropsVTypes">
  <Template/>
  <TotalTime>2364</TotalTime>
  <Application>LibreOffice/24.2.5.2$Windows_X86_64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2000-01-14T14:17:47Z</dcterms:created>
  <dc:creator>comune di bagno a ripoli</dc:creator>
  <dc:description/>
  <dc:language>it-IT</dc:language>
  <cp:lastModifiedBy/>
  <cp:lastPrinted>2025-09-09T16:41:35Z</cp:lastPrinted>
  <dcterms:modified xsi:type="dcterms:W3CDTF">2025-10-09T15:21:31Z</dcterms:modified>
  <cp:revision>304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r8>591814093</vt:r8>
  </property>
  <property fmtid="{D5CDD505-2E9C-101B-9397-08002B2CF9AE}" pid="3" name="_AuthorEmail">
    <vt:lpwstr>gianni.meazzini@comune.bagno-a-ripoli.fi.it</vt:lpwstr>
  </property>
  <property fmtid="{D5CDD505-2E9C-101B-9397-08002B2CF9AE}" pid="4" name="_AuthorEmailDisplayName">
    <vt:lpwstr>Gianni Meazzini</vt:lpwstr>
  </property>
  <property fmtid="{D5CDD505-2E9C-101B-9397-08002B2CF9AE}" pid="5" name="_EmailSubject">
    <vt:lpwstr>Fogli del cazzo</vt:lpwstr>
  </property>
  <property fmtid="{D5CDD505-2E9C-101B-9397-08002B2CF9AE}" pid="6" name="_PreviousAdHocReviewCycleID">
    <vt:r8>-1115355171</vt:r8>
  </property>
</Properties>
</file>