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5 сесія 21.08.2023\№436 Зміни бюджет 23 р\"/>
    </mc:Choice>
  </mc:AlternateContent>
  <xr:revisionPtr revIDLastSave="0" documentId="13_ncr:1_{598A4A17-A78C-4CBB-991D-57030A972298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Лист1" sheetId="13" state="hidden" r:id="rId1"/>
    <sheet name="2023" sheetId="19" r:id="rId2"/>
  </sheets>
  <externalReferences>
    <externalReference r:id="rId3"/>
  </externalReferences>
  <definedNames>
    <definedName name="_xlnm.Print_Titles" localSheetId="1">'2023'!$15:$17</definedName>
    <definedName name="_xlnm.Print_Area" localSheetId="1">'2023'!$A$1:$M$240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4" i="19" l="1"/>
  <c r="J154" i="19" l="1"/>
  <c r="J26" i="19" l="1"/>
  <c r="I26" i="19"/>
  <c r="J186" i="19" l="1"/>
  <c r="I186" i="19"/>
  <c r="J167" i="19" l="1"/>
  <c r="I167" i="19"/>
  <c r="J172" i="19" l="1"/>
  <c r="I172" i="19"/>
  <c r="K247" i="19" l="1"/>
  <c r="I248" i="19" l="1"/>
  <c r="J111" i="19" l="1"/>
  <c r="I111" i="19"/>
  <c r="J114" i="19" l="1"/>
  <c r="I114" i="19"/>
  <c r="J60" i="19" l="1"/>
  <c r="K31" i="19"/>
  <c r="J31" i="19"/>
  <c r="J236" i="19" l="1"/>
  <c r="I236" i="19"/>
  <c r="J233" i="19"/>
  <c r="I233" i="19"/>
  <c r="J228" i="19"/>
  <c r="I228" i="19"/>
  <c r="J219" i="19"/>
  <c r="I219" i="19"/>
  <c r="J204" i="19"/>
  <c r="I204" i="19"/>
  <c r="J210" i="19"/>
  <c r="I210" i="19"/>
  <c r="J202" i="19"/>
  <c r="I202" i="19"/>
  <c r="J174" i="19"/>
  <c r="I174" i="19"/>
  <c r="J191" i="19"/>
  <c r="I191" i="19"/>
  <c r="J190" i="19"/>
  <c r="I190" i="19"/>
  <c r="J181" i="19"/>
  <c r="I181" i="19"/>
  <c r="J164" i="19"/>
  <c r="I164" i="19"/>
  <c r="J133" i="19"/>
  <c r="I133" i="19"/>
  <c r="J134" i="19"/>
  <c r="I134" i="19"/>
  <c r="J132" i="19"/>
  <c r="I132" i="19"/>
  <c r="I118" i="19" l="1"/>
  <c r="J118" i="19"/>
  <c r="K92" i="19"/>
  <c r="L92" i="19"/>
  <c r="J73" i="19"/>
  <c r="I73" i="19"/>
  <c r="J57" i="19"/>
  <c r="I57" i="19"/>
  <c r="J49" i="19"/>
  <c r="J48" i="19" s="1"/>
  <c r="I49" i="19"/>
  <c r="I48" i="19" s="1"/>
  <c r="J34" i="19" l="1"/>
  <c r="I34" i="19"/>
  <c r="K30" i="19"/>
  <c r="K28" i="19" s="1"/>
  <c r="L30" i="19"/>
  <c r="L28" i="19" s="1"/>
  <c r="J30" i="19" l="1"/>
  <c r="J28" i="19" s="1"/>
  <c r="I31" i="19" l="1"/>
  <c r="I30" i="19" s="1"/>
  <c r="I29" i="19" l="1"/>
  <c r="I28" i="19" s="1"/>
  <c r="K19" i="19"/>
  <c r="L19" i="19"/>
  <c r="J21" i="19" l="1"/>
  <c r="I21" i="19"/>
  <c r="J231" i="19" l="1"/>
  <c r="J230" i="19" s="1"/>
  <c r="I231" i="19"/>
  <c r="I230" i="19" s="1"/>
  <c r="J40" i="19" l="1"/>
  <c r="I40" i="19"/>
  <c r="J248" i="19" l="1"/>
  <c r="I229" i="19"/>
  <c r="J108" i="19"/>
  <c r="J107" i="19" s="1"/>
  <c r="J106" i="19" s="1"/>
  <c r="I108" i="19"/>
  <c r="I107" i="19" s="1"/>
  <c r="I106" i="19" s="1"/>
  <c r="J101" i="19"/>
  <c r="I101" i="19"/>
  <c r="J100" i="19"/>
  <c r="I100" i="19"/>
  <c r="J91" i="19"/>
  <c r="I91" i="19"/>
  <c r="J88" i="19"/>
  <c r="J87" i="19" s="1"/>
  <c r="I88" i="19"/>
  <c r="J85" i="19"/>
  <c r="I85" i="19"/>
  <c r="J84" i="19"/>
  <c r="I84" i="19"/>
  <c r="J83" i="19"/>
  <c r="I83" i="19"/>
  <c r="J82" i="19"/>
  <c r="I82" i="19"/>
  <c r="J80" i="19"/>
  <c r="I80" i="19"/>
  <c r="J79" i="19"/>
  <c r="I79" i="19"/>
  <c r="J78" i="19"/>
  <c r="I78" i="19"/>
  <c r="J77" i="19"/>
  <c r="I77" i="19"/>
  <c r="K40" i="19"/>
  <c r="K39" i="19" s="1"/>
  <c r="L40" i="19"/>
  <c r="L39" i="19" s="1"/>
  <c r="I39" i="19"/>
  <c r="J229" i="19"/>
  <c r="J226" i="19"/>
  <c r="J225" i="19" s="1"/>
  <c r="I226" i="19"/>
  <c r="I225" i="19" s="1"/>
  <c r="K215" i="19"/>
  <c r="K211" i="19" s="1"/>
  <c r="I215" i="19"/>
  <c r="J213" i="19"/>
  <c r="I213" i="19"/>
  <c r="J212" i="19"/>
  <c r="I212" i="19"/>
  <c r="L211" i="19"/>
  <c r="J207" i="19"/>
  <c r="I207" i="19"/>
  <c r="J206" i="19"/>
  <c r="I206" i="19"/>
  <c r="J200" i="19"/>
  <c r="I200" i="19"/>
  <c r="I199" i="19" s="1"/>
  <c r="J196" i="19"/>
  <c r="J193" i="19" s="1"/>
  <c r="I196" i="19"/>
  <c r="I193" i="19" s="1"/>
  <c r="M193" i="19"/>
  <c r="L193" i="19"/>
  <c r="K193" i="19"/>
  <c r="J188" i="19"/>
  <c r="I188" i="19"/>
  <c r="J183" i="19"/>
  <c r="I183" i="19"/>
  <c r="J180" i="19"/>
  <c r="I180" i="19"/>
  <c r="L169" i="19"/>
  <c r="K169" i="19"/>
  <c r="J169" i="19"/>
  <c r="I169" i="19"/>
  <c r="J165" i="19"/>
  <c r="J158" i="19" s="1"/>
  <c r="I165" i="19"/>
  <c r="I158" i="19" s="1"/>
  <c r="K155" i="19"/>
  <c r="J155" i="19"/>
  <c r="I155" i="19"/>
  <c r="L116" i="19"/>
  <c r="K116" i="19"/>
  <c r="J116" i="19"/>
  <c r="I116" i="19"/>
  <c r="J109" i="19"/>
  <c r="I109" i="19"/>
  <c r="J97" i="19"/>
  <c r="I97" i="19"/>
  <c r="J93" i="19"/>
  <c r="I93" i="19"/>
  <c r="L59" i="19"/>
  <c r="L58" i="19" s="1"/>
  <c r="K59" i="19"/>
  <c r="K58" i="19" s="1"/>
  <c r="L56" i="19"/>
  <c r="L55" i="19" s="1"/>
  <c r="K56" i="19"/>
  <c r="K55" i="19" s="1"/>
  <c r="J56" i="19"/>
  <c r="J55" i="19" s="1"/>
  <c r="I56" i="19"/>
  <c r="I55" i="19" s="1"/>
  <c r="L52" i="19"/>
  <c r="L51" i="19" s="1"/>
  <c r="K52" i="19"/>
  <c r="K51" i="19" s="1"/>
  <c r="J52" i="19"/>
  <c r="J51" i="19" s="1"/>
  <c r="I52" i="19"/>
  <c r="I51" i="19" s="1"/>
  <c r="J39" i="19"/>
  <c r="L27" i="19"/>
  <c r="K27" i="19"/>
  <c r="J27" i="19"/>
  <c r="I27" i="19"/>
  <c r="J20" i="19"/>
  <c r="I20" i="19"/>
  <c r="L18" i="19"/>
  <c r="K18" i="19"/>
  <c r="I173" i="19" l="1"/>
  <c r="J173" i="19"/>
  <c r="J199" i="19"/>
  <c r="J19" i="19"/>
  <c r="J18" i="19" s="1"/>
  <c r="I19" i="19"/>
  <c r="I18" i="19" s="1"/>
  <c r="I87" i="19"/>
  <c r="I86" i="19" s="1"/>
  <c r="L113" i="19"/>
  <c r="L112" i="19" s="1"/>
  <c r="L237" i="19" s="1"/>
  <c r="I211" i="19"/>
  <c r="J211" i="19"/>
  <c r="K113" i="19"/>
  <c r="K112" i="19" s="1"/>
  <c r="K237" i="19" s="1"/>
  <c r="J99" i="19"/>
  <c r="J92" i="19" s="1"/>
  <c r="I99" i="19"/>
  <c r="I92" i="19" s="1"/>
  <c r="J86" i="19"/>
  <c r="J76" i="19"/>
  <c r="J61" i="19" s="1"/>
  <c r="I76" i="19"/>
  <c r="I61" i="19" s="1"/>
  <c r="L243" i="19" l="1"/>
  <c r="K243" i="19"/>
  <c r="J113" i="19"/>
  <c r="J112" i="19" s="1"/>
  <c r="I113" i="19"/>
  <c r="I112" i="19" s="1"/>
  <c r="I59" i="19"/>
  <c r="I58" i="19" s="1"/>
  <c r="J59" i="19"/>
  <c r="J58" i="19" s="1"/>
  <c r="I237" i="19" l="1"/>
  <c r="J237" i="19"/>
  <c r="J243" i="19" s="1"/>
  <c r="I243" i="19" s="1"/>
  <c r="I247" i="19" l="1"/>
  <c r="I249" i="19" s="1"/>
  <c r="J247" i="19"/>
  <c r="L247" i="19" s="1"/>
  <c r="J249" i="19" l="1"/>
</calcChain>
</file>

<file path=xl/sharedStrings.xml><?xml version="1.0" encoding="utf-8"?>
<sst xmlns="http://schemas.openxmlformats.org/spreadsheetml/2006/main" count="468" uniqueCount="336">
  <si>
    <t>ВСЬОГО</t>
  </si>
  <si>
    <t>Код Функціональної класифікації видатків та кредитування бюджету</t>
  </si>
  <si>
    <t>грн.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</si>
  <si>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</si>
  <si>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</si>
  <si>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</si>
  <si>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</si>
  <si>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</si>
  <si>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</si>
  <si>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</si>
  <si>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</si>
  <si>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9.1</t>
  </si>
  <si>
    <t>(код бюджету)</t>
  </si>
  <si>
    <t>Одеського району Одеської області</t>
  </si>
  <si>
    <t xml:space="preserve">до  рішення </t>
  </si>
  <si>
    <t xml:space="preserve">Чорноморської міської ради </t>
  </si>
  <si>
    <t>Начальник фінансового управління</t>
  </si>
  <si>
    <t>Ольга ЯКОВЕНКО</t>
  </si>
  <si>
    <t>Найменування об'єкта будівництва/вид будівельних робіт, у тому числі проектні роботи</t>
  </si>
  <si>
    <t xml:space="preserve">Розподіл коштів бюджету розвитку у складі бюджету Чорноморської міської територіальної громади  на 2023 рік </t>
  </si>
  <si>
    <t>0200000</t>
  </si>
  <si>
    <t>0210000</t>
  </si>
  <si>
    <t>Виконавчий комітет Чорноморської  міської ради  Одеського району Одеської області</t>
  </si>
  <si>
    <t>"Додаток 6</t>
  </si>
  <si>
    <t>від 20.12.2022  № 284 - VIII"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</si>
  <si>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</si>
  <si>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</si>
  <si>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</si>
  <si>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</si>
  <si>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Капітальні видатки разом, в т.ч.:</t>
  </si>
  <si>
    <t>0212010</t>
  </si>
  <si>
    <t>2010</t>
  </si>
  <si>
    <t>0731</t>
  </si>
  <si>
    <t>Багатопрофільна стаціонарна медична допомога населенню</t>
  </si>
  <si>
    <t>Капітальний ремонт приміщень поліклініки (приміщень санвузлів 1-7 поверхів №№ 121-124; 248-251; 338-341; 373-376; 404-407; 441-444; 490-493) КНП "Чорноморська лікарня" Чорноморської міської ради Одеського району Одеської області за адресою: Одеська область, м.Чорноморськ, вул.1 Травня, 1, буд.літ.А</t>
  </si>
  <si>
    <t>0600000</t>
  </si>
  <si>
    <t/>
  </si>
  <si>
    <t>0610000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</si>
  <si>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</si>
  <si>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</si>
  <si>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</si>
  <si>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</si>
  <si>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9.2</t>
  </si>
  <si>
    <t>з них за рахунок:</t>
  </si>
  <si>
    <r>
      <t xml:space="preserve">доходів
</t>
    </r>
    <r>
      <rPr>
        <b/>
        <sz val="12"/>
        <rFont val="Times New Roman"/>
        <family val="1"/>
        <charset val="204"/>
      </rPr>
      <t>33010100</t>
    </r>
  </si>
  <si>
    <r>
      <t xml:space="preserve">коштів, що передаються із загального фонду до бюджету розвитку (спеціального фонду)
</t>
    </r>
    <r>
      <rPr>
        <b/>
        <sz val="12"/>
        <rFont val="Times New Roman"/>
        <family val="1"/>
        <charset val="204"/>
      </rPr>
      <t>208400</t>
    </r>
  </si>
  <si>
    <r>
      <t xml:space="preserve">залишку коштів бюджету розвитку на початок року
</t>
    </r>
    <r>
      <rPr>
        <b/>
        <sz val="12"/>
        <rFont val="Times New Roman"/>
        <family val="1"/>
        <charset val="204"/>
      </rPr>
      <t>208100</t>
    </r>
  </si>
  <si>
    <t>9.3</t>
  </si>
  <si>
    <t>Реконструкція "Система пожежної сигналізації (СПС) і система оповіщення про пожежу та управління евакуацією людей (Робочий проект) проектної документації на об'єкті "Технічне переоснащення системи протипожежного захисту загальноосвітньої школи за адресою: Одеська область, с.Малодолинське, вул.Зелена, 2"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</si>
  <si>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</si>
  <si>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</si>
  <si>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</si>
  <si>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</si>
  <si>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</si>
  <si>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</si>
  <si>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</si>
  <si>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</si>
  <si>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</si>
  <si>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</si>
  <si>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0813121</t>
  </si>
  <si>
    <t>3121</t>
  </si>
  <si>
    <t>1040</t>
  </si>
  <si>
    <t>Утримання та забезпечення діяльності центрів соціальних служб</t>
  </si>
  <si>
    <t>Капітальні видатки</t>
  </si>
  <si>
    <t>0816083</t>
  </si>
  <si>
    <t>0610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</si>
  <si>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</si>
  <si>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1000000</t>
  </si>
  <si>
    <t>Вiддiл культури Чорноморської мiської ради Одеського району Одеської областi</t>
  </si>
  <si>
    <t>1010000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</si>
  <si>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</si>
  <si>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</si>
  <si>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</si>
  <si>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</si>
  <si>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</si>
  <si>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</si>
  <si>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</si>
  <si>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і будинків культури, клубів, центрів дозвілля та інших клубних закладів</t>
  </si>
  <si>
    <t>1100000</t>
  </si>
  <si>
    <t>Вiддiл молодi та спорту Чорноморської мiської ради Одеського району Одеської областi</t>
  </si>
  <si>
    <t>1110000</t>
  </si>
  <si>
    <t>1110160</t>
  </si>
  <si>
    <t>1200000</t>
  </si>
  <si>
    <t>Вiддiл комунального господарства та благоустрою Чорноморської мiської ради Одеського району Одеської областi</t>
  </si>
  <si>
    <t>1210000</t>
  </si>
  <si>
    <t>1210160</t>
  </si>
  <si>
    <t>Експлуатація та технічне обслуговування житлового фонду</t>
  </si>
  <si>
    <t>Міська цільова програма сприяння діяльності об'єднань співвласників багатоквартирних будинків, житлово-будівельних кооперативів у багатоквартирних будинках на території Чорноморської міської територіальної громади на 2023 -  2025 роки</t>
  </si>
  <si>
    <t>Капітальний ремонт житлового будинку (відновлення вхідних груп) за адресою: Одеська область, Одеській район, м.Чорноморськ, проспект Миру, 30 (ОСББ "Мирний 30")</t>
  </si>
  <si>
    <t>Капітальний ремонт елеваторного вузла системи центрального опалення житлового будинку за адресою: Одеська область, Одеський район, м.Чорноморськ, вул.Паркова, 34 Б, В  (ОСББ "МЖК Перший")</t>
  </si>
  <si>
    <t>Капітальний ремонт мереж електропостачання житлового будинку за адресою: Одеська область, Одеський район, м.Чорноморськ, вул.Парусна, 8 (ОСББ "Парусна-8")</t>
  </si>
  <si>
    <t>Капітальний ремонт цокольної частини фасаду, відмостки житлового будинку за адресою: Одеська область, Одеський район, м.Чорноморськ, вул.1 Травня, 6 (ЖБК "Судноремонтник-3")</t>
  </si>
  <si>
    <t>Капітальний ремонт покрівлі житлового будинку за адресою: Одеська область, Одеський район, м.Чорноморськ, вул.1 Травня, 10-Б (ОСББ "Будинки АББО")</t>
  </si>
  <si>
    <t>Капітальний ремонт покрівлі над 3 та 4 під'їздами житлового будинку за адресою: Одеська область, Одеський район, м.Чорноморськ, вул.Шевченка, 9-А (ОСББ "Номер шість")</t>
  </si>
  <si>
    <t>Капітальний ремонт багатоквартирного будинку (ремонт вхідних груп) за адресою: м.Чорноморськ, проспект Миру, 43 (4п.)</t>
  </si>
  <si>
    <t>Капітальний ремонт багатоквартирного будинку (ремонт внутрішньобудинкових мереж) за адресою: м.Чорноморськ, вул. 1 Травня, 11</t>
  </si>
  <si>
    <t>Капітальний ремонт багатоквартирного будинку (ремонт вхідних груп) за адресою: м.Чорноморськ, вул.В.Шума, 13а</t>
  </si>
  <si>
    <t>Капітальний ремонт житлового фонду</t>
  </si>
  <si>
    <t>1216015</t>
  </si>
  <si>
    <t>6015</t>
  </si>
  <si>
    <t>0620</t>
  </si>
  <si>
    <t>Забезпечення надійної та безперебійної експлуатації ліфтів</t>
  </si>
  <si>
    <t>1216030</t>
  </si>
  <si>
    <t>6030</t>
  </si>
  <si>
    <t>Організація благоустрою населених пунктів</t>
  </si>
  <si>
    <t>Капітальний ремонт ліфтів житлового будинку за адресою: Одеська область, Одеський район, м.Чорноморськ, вул.Парусна, 17 (ОК ЖБК "Новий")</t>
  </si>
  <si>
    <t xml:space="preserve">Відновлення елементів благоустрою - капітальний ремонт "стежки здоров'я" на схилах парку Приморського у м.Чорноморськ Одеського району Одеської області </t>
  </si>
  <si>
    <t>Відновлення елементів благоустрою - капітальний ремонт прибудинкової території  за адресою: м.Чорноморськ, проспект Миру, 41-43</t>
  </si>
  <si>
    <t>Відновлення елементів благоустрою - капітальний ремонт  прибудинкової території багатоквартирного будинку за адресою: вул. 1 Травня, будинок 10,  м. Чорноморськ Одеського району Одеської області</t>
  </si>
  <si>
    <t>Відновлення елементів благоустрою - капітальний ремонт прибудинкової території  за адресою: м.Чорноморськ, вул.1 Травня, 13</t>
  </si>
  <si>
    <t>Реконструкція скверу за адресою: Одеська область, м.Чорноморськ, проспект Миру, 14. Коригування (з урахуванням технічного та авторського нагляду)</t>
  </si>
  <si>
    <t>Відновлення елементів благоустрою-капітальний ремонт спортивного майданчика "Екстрім-парк" в м.Чорноморськ Одеської області (за рахунок залишку коштів субвенції з місцевого бюджету на виконання інвестиційних проектів)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</si>
  <si>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вул.Лазурна, 2 (ОСББ "Номер сім")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</si>
  <si>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проспект Миру, буд.8-А</t>
  </si>
  <si>
    <t>0443</t>
  </si>
  <si>
    <t>0470</t>
  </si>
  <si>
    <t>Заходи з енергозбереження</t>
  </si>
  <si>
    <t>Капітальний ремонт (заміна вікон) в багатоквартирному будинку за адресою: Одеська область, Одеський район, м.Чорноморськ, вул.Парусна, 13/1 (ЖБК "Квант-1")</t>
  </si>
  <si>
    <t>0320</t>
  </si>
  <si>
    <t>Заходи із запобігання та ліквідації надзвичайних ситуацій та наслідків стихійного лиха</t>
  </si>
  <si>
    <t>1500000</t>
  </si>
  <si>
    <t>Управлiння капiтального будiвництва Чорноморської мiської ради Одеського району Одеської областi</t>
  </si>
  <si>
    <t>1510000</t>
  </si>
  <si>
    <t>Капітальний ремонт приміщень адміністративної будівлі виконавчого комітету Чорноморської міської ради Одеського району Одеської області за адресою: Одеська область, м.Чорноморськ, проспект Миру, 33</t>
  </si>
  <si>
    <t>1510160</t>
  </si>
  <si>
    <t>Капітальний ремонт системи  протипожежного захисту: системи пожежної сигналізації, системи оповіщення та управління евакуацією людей на об'єкті Комунального некомерційного підприємства "Чорноморська лікарня" Чорноморської міської ради  Одеського району Одеської області за адресою: м.Чорноморськ, вул.В.Шума, 4</t>
  </si>
  <si>
    <t>1516011</t>
  </si>
  <si>
    <t>6011</t>
  </si>
  <si>
    <t>Капітальний ремонт багатоквартирного будинку за адресою: м.Чорноморськ, вул.Данченка, 3б</t>
  </si>
  <si>
    <t>Капітальний ремонт багатоквартирного будинку за адресою: м.Чорноморськ, вул.Данченка, 3в</t>
  </si>
  <si>
    <t>Капітальний ремонт багатоквартирного будинку за адресою: м.Чорноморськ, вул.Данченка, 5а</t>
  </si>
  <si>
    <t>Капітальний ремонт багатоквартирного будинку за адресою: м.Чорноморськ, вул.Данченка, 12</t>
  </si>
  <si>
    <t>Капітальний ремонт покрівлі багатоквартирного будинку за адресою: м.Чорноморськ вул.Корабельна, 4б</t>
  </si>
  <si>
    <t>Капітальний ремонт багатоквартирного будинку за адресою: м.Чорноморськ, проспект Миру, 11</t>
  </si>
  <si>
    <t>Капітальний ремонт багатоквартирного будинку за адресою: м.Чорноморськ, проспект Миру, 14а</t>
  </si>
  <si>
    <t>Капітальний ремонт багатоквартирного будинку (ремонт відмостки, оздоблювальні роботи по фасаду та ганку) за адресою: м.Чорноморськ, проспект Миру, 17</t>
  </si>
  <si>
    <t>Капітальний ремонт багатоквартирного  будинку (ремонт даху) за адресою: м.Чорноморськ, проспект Миру, 18</t>
  </si>
  <si>
    <t>Капітальний ремонт багатоквартирного будинку (ремонт внутрішньобудинкових мереж, вхідних груп) за адресою: м.Чорноморськ, проспект Миру, 24</t>
  </si>
  <si>
    <t>Капітальний ремонт багатоквартирного будинку (відновлення вхідних груп, встановлення внутрішніх дверей) за адресою: м.Чорноморськ, проспект Миру, 26 (три під'їзди)</t>
  </si>
  <si>
    <t>Капітальний ремонт багатоквартирного будинку (ремонт вимощення та ганку) за адресою: м. Чорноморськ, вулиця Олександрійська, 2</t>
  </si>
  <si>
    <t>Капітальний ремонт багатоквартирного будинку (ремонт внутрішньобудинкових мереж) за адресою: м.Чорноморськ, вул.Олександрійська, 10</t>
  </si>
  <si>
    <t>Капітальний ремонт багатоквартирного будинку за адресою: м.Чорноморськ, вул. Паркова, 22</t>
  </si>
  <si>
    <t>Капітальний ремонт багатоквартирного будинку (ремонт внутрішньобудинкових мереж, фасаду) за адресою: м.Чорноморськ, вул.Парусна, 3</t>
  </si>
  <si>
    <t>Капітальний ремонт багатоквартирного будинку (ремонт вимощення) за адресою: м.Чорноморськ, вул.Парусна, 7</t>
  </si>
  <si>
    <t>Капітальний ремонт багатоквартирного будинку (ремонт внутрішньобудинкових мереж) за адресою: м.Чорноморськ, вул.Парусна, 7</t>
  </si>
  <si>
    <t>Капітальний ремонт багатоквартирного будинку (ремонт вимощення) за адресою: м.Чорноморськ, вул.Парусна, 9</t>
  </si>
  <si>
    <t>Капітальний ремонт електромереж та заміна ВРЩ в багатоквартирному  будинку за адресою: м.Чорноморськ,  вул.Праці, 3</t>
  </si>
  <si>
    <t>Капітальний ремонт багатоквартирного будинку (ремонт вимощення, цоколя) за адресою: м.Чорноморськ, вул.1 Травня, 7</t>
  </si>
  <si>
    <t>Капітальний ремонт багатоквартирного будинку (ремонт внутрішньобудинкових мереж, вхідних груп)  за адресою: вул. 1 Травня 17</t>
  </si>
  <si>
    <t>Капітальний ремонт багатоквартирного будинку (ремонт вхідних груп, ремонт відмостки) за адресою: м.Чорноморськ, вул.В.Шума, 15</t>
  </si>
  <si>
    <t>Капітальний ремонт багатоквартирного будинку  (ремонт вхідних груп) за адресою: вул. В. Шума 17</t>
  </si>
  <si>
    <t>Капітальний ремонт багатоквартирного будинку (відновлення вхідних груп та заміна поштових скриньок) за адресою: м.Чорноморськ, вул.В.Шума, 17-А</t>
  </si>
  <si>
    <t>1516013</t>
  </si>
  <si>
    <t>6013</t>
  </si>
  <si>
    <t>Забезпечення діяльності водопровідно-каналізаційного господарства</t>
  </si>
  <si>
    <t>1516015</t>
  </si>
  <si>
    <t>Капітальний ремонт (заміна) ліфтів за адресою: м. Чорноморськ, пр.Миру, 28</t>
  </si>
  <si>
    <t>Капітальний ремонт (заміна) ліфтів за адресою: м. Чорноморськ, вул.Парусна, 16</t>
  </si>
  <si>
    <t>1516030</t>
  </si>
  <si>
    <t>Відновлення елементів благоустрою - капітальний ремонт прибудинкової території,  внутрішньоквартального проїзду за адресою: м.Чорноморськ, вул.Олександрійська, 4</t>
  </si>
  <si>
    <t>Відновлення елементів благоустрою - капітальний ремонт прибудинкової території з улаштуванням дитячого майданчику за адресою: м.Чорноморськ, вул.Олександрійська, 15</t>
  </si>
  <si>
    <t>Відновлення елементів благоустрою - капітальний ремонт прибудинкової території з улаштуванням дитячого майданчика за адресою: м.Чорноморськ, вул.Олександрійська, 20</t>
  </si>
  <si>
    <t>Відновлення елементів благоустрою - капітальний ремонт  прибудинкової території за адресою: м.Чорноморськ, вул.Паркова, 20</t>
  </si>
  <si>
    <t>Відновлення елементів благоустрою - капітальний ремонт  прибудинкової території за адресою: м.Чорноморськ, вул.Парусна, 9</t>
  </si>
  <si>
    <t>Відновлення елементів благоустрою - капітальний ремонт прибудинкової території з улаштуванням дитячого майданчика за адресою: м.Чорноморськ, вул.В.Шума, 19</t>
  </si>
  <si>
    <t>Відновлення елементів благоустрою - капітальний ремонт  внутрішньоквартальних проїздів (з улаштуванням паркувального карману) за адресою: м.Чорноморськ, вул.Шума, 19</t>
  </si>
  <si>
    <t>Капітальний ремонт - відновлення елементів благоустрою спортивного майданчика  з улаштуванням комплексу "Варкаут", розташованого за  адресою: вул. Центральна кут Інститутської в с. Бурлача Балка, м.Чорноморськ Одеського району Одеської області</t>
  </si>
  <si>
    <t>Будівництво автобусної зупинки біля Малодолинської ЗОШ по вул.Зелена, 2 в с.Малодолинське, м.Чорноморськ, Одеського району Одеської області</t>
  </si>
  <si>
    <t>1517370</t>
  </si>
  <si>
    <t>7370</t>
  </si>
  <si>
    <t>0490</t>
  </si>
  <si>
    <t>Реалізація інших заходів щодо соціально-економічного розвитку територій</t>
  </si>
  <si>
    <t>Збільшення електропотужностей для 13-го мікрорайону міста Чорноморська, Одеської області</t>
  </si>
  <si>
    <t>Будівництво паркової зони біля головної КНС в м.Чорноморськ. Проектні роботи</t>
  </si>
  <si>
    <t>Будівництво автобусної зупинки на Чорноморськ біля АЗК Motto по вулиці Перемоги в м. Чорноморськ Одеського району Одеської області</t>
  </si>
  <si>
    <t>1517640</t>
  </si>
  <si>
    <t>7640</t>
  </si>
  <si>
    <t>1518110</t>
  </si>
  <si>
    <t>8110</t>
  </si>
  <si>
    <t>Міська цільова програма часткової компенсації вартості закупівлі електрогенераторів для забезпечення потреб об’єднань співвласників багатоквартирних будинків Чорноморської міської територіальної громади під час підготовки опалювального сезону 2022/2023 років - часткова компенсація відшкодування вартості закупівлі електрогенераторів у багатоквартирних будинках</t>
  </si>
  <si>
    <t>Міська цільова соціальна програма розвитку цивільного захисту Чорноморської міської територіальної громади на 2021-2025 роки - капітальні видатки</t>
  </si>
  <si>
    <t>Капітальний ремонт (заміна вікон) у багатоквартирному будинку за адресою: м.Чорноморськ, вул.Олександрійська, 18 А</t>
  </si>
  <si>
    <t>Капітальний ремонт (заміна вікон) в багатоквартирному  будинку за адресою: м.Чорноморськ, вулиця Олександрійська, 24</t>
  </si>
  <si>
    <t>Капітальний ремонт (заміна вікон) в багатоквартирному  будинку за адресою: м.Чорноморськ, вулиця Паркова, 36</t>
  </si>
  <si>
    <t>Капітальний ремонт (заміна вікон) в багатоквартирному  будинку за адресою: м.Чорноморськ, вул. 1 Травня, 7</t>
  </si>
  <si>
    <t>Капітальний ремонт (заміна вікон) в багатоквартирному  будинку за адресою: м.Чорноморськ, вул. 1 Травня, 17 (1п.)</t>
  </si>
  <si>
    <t>Капітальний ремонт приміщень підвального поверху адміністративної будівлі виконавчого комітету Чорноморської міської ради Одеського району Одеської області для облаштування укриття за адресою: Одеська область, м.Чорноморськ, проспект Миру, 33</t>
  </si>
  <si>
    <t>Капітальний ремонт вбудованої захисної споруди цивільного захисту (цивільної оборони) (сховища) в будівлі поліклініки за адресою: Одеська область, м.Чорноморськ, вул.1 Травня, 1</t>
  </si>
  <si>
    <t>Заходи із цивільного захисту населення в частині розгортання пунктів обігріву, в тому числі що використовуються в якості найпростіших укритів,  під час дії правового режиму воєнного стану на території Чорноморської міської територіальної громади Одеського району Одеської області - підготовка об'єктів до опалювального сезону 2022/2023року - придбання джерел резервного живлення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</si>
  <si>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</si>
  <si>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</si>
  <si>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</si>
  <si>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</si>
  <si>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Міська цільова програма забезпечення житлом дітей-сиріт та дітей, позбавлених батьківського піклування, а також осіб з їх числа на 2023-2025 роки - виплата грошової компенсації особам та молоді із числа дітей-сиріт та дітей, позбавлених батьківського піклування, за належні для отримання житлових приміщень</t>
  </si>
  <si>
    <t>3117693</t>
  </si>
  <si>
    <t>7693</t>
  </si>
  <si>
    <t>Інші заходи, пов'язані з економічною діяльністю</t>
  </si>
  <si>
    <t>3700000</t>
  </si>
  <si>
    <t>Фiнансове управлiння Чорноморської мiської ради Одеського району Одеської областi</t>
  </si>
  <si>
    <t>3710000</t>
  </si>
  <si>
    <t>3719800</t>
  </si>
  <si>
    <t>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</si>
  <si>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</si>
  <si>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</si>
  <si>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Міська цільова соціальна програма розвитку цивільного захисту Чорноморської міської територіальної громади на 2021-2025 роки</t>
  </si>
  <si>
    <t>Реконструкція приміщення сховища в будівлі за адресою:Одеська обл., Одеський район, м. Чорноморськ, вул.1Травня2/198-Н</t>
  </si>
  <si>
    <t>Капітальний ремонт фасаду житлового будинку за адресою: Одеська область, Одеський район, м.Чорноморськ, вул.Паркова, 22-А (ОСББ "Паркова - 22-А")</t>
  </si>
  <si>
    <t>1516050</t>
  </si>
  <si>
    <t>6050</t>
  </si>
  <si>
    <t>'Попередження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</si>
  <si>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Капітальний ремонт електромереж багатоквартирного  будинку та заміна ВРЩ в багатоквартирному будинку за адресою: м.Чорноморськ, проспект Миру, 9</t>
  </si>
  <si>
    <t>Міська цільова програма  протидії  злочинності та посилення громадської  безпеки  на  території  Чорноморської міської територіальної громади на  2023  рік</t>
  </si>
  <si>
    <t>Реконструкція мережі водовідведення, яка приймає стоки від житлового будинку ОСББ "НОМЕР СІМ" за адресою: Одеська область, м.Чорноморськ, вул.Лазурна, 2</t>
  </si>
  <si>
    <t>Розробка проектно-кошторисної документації на капітальний ремонт інженерних мереж холодного водопостачання з улаштуванням приладів колективного обліку та водовідведення, електропостачання з улаштуванням приладів індивідуального обліку, автоматичної системи пожежної сигналізації, капітальний ремонт фасадів, ліфтів, гідроізоляцію душових в гуртожитках за адресами: Одеська область, Одеський район, м Чорноморськ, провулок Шкільний, 4-А, вул.Паркова, 20-А, вул.Олександрійська, 16</t>
  </si>
  <si>
    <t>Виконавчий комітет</t>
  </si>
  <si>
    <t>Бурлачобалківська сільська адміністрація</t>
  </si>
  <si>
    <t>1516012</t>
  </si>
  <si>
    <t>6012</t>
  </si>
  <si>
    <t>Забезпечення діяльності з виробництва, транспортування, постачання теплової енергії</t>
  </si>
  <si>
    <t>Придбання спеціальної техніки з очищення теплових камер від замулювання - муловсмоктувача</t>
  </si>
  <si>
    <t xml:space="preserve">Капітальний ремонт теплових мереж на ділянці за адресою: м.Чорноморськ, вул.Торгова (р-н ринку "Ранковий"). Коригування </t>
  </si>
  <si>
    <t>Технічне переоснащення системи донної аерації першої секції аеротенка каналізаційних очисних споруд м.Чорноморська, розташованих за адресою: Одеська область, Овідіопольський район, Дальницька сільрада, комплекс будівель і споруд № 2 (за межами населеного пункту)</t>
  </si>
  <si>
    <t>Капітальний ремонт системи пожежної сигналізації, системи керування евакуюванням, системи централізованого пожежного спостерігання  будинку побуту "Райдуга" за адресою: Одеська область, Одеський район, м.Чорноморськ,вул.1-го Травня буд.3</t>
  </si>
  <si>
    <t>Будівництво (улаштування) системи пожежної сигналізації, системи керування евакуюванням (в частині системи оповіщення про пожежу і покажчиків напрямку евакуювання; системи централізованого пожежного спостереження; автоматичної системи аерозольного пожежогасіння на об'єкті: адміністративна будівля Виконавчого комітету Чорноморської міської ради Одеського району Одеської області за адресою: 68003, Одеська область, Одеський район, м.Чорноморськ, проспект Миру,буд.33</t>
  </si>
  <si>
    <t>Капітальний ремонт аварійної ділянки каналізаційного колектору, розташованої  за адресою: Одеська область, Одеський район,  м. Чорноморськ, вул. 1 Травня, 1</t>
  </si>
  <si>
    <t xml:space="preserve">Капітальний ремонт з заміною вікон та заходами з енергозбереження в будівлі поліклініки КНП "Чорноморська лікарня" ЧМР, за адресою: вул. 1 Травня, буд.1, м.Чорноморськ, Одеського району, Одеської області </t>
  </si>
  <si>
    <t>Капітальний ремонт з заміною вікон та заходами з енергозбереження в будівлі КНП "Чорноморська лікарня" ЧМР, за адресою: вул. Віталія Шума, буд.4, м.Чорноморськ, Одеського району, Одеської області</t>
  </si>
  <si>
    <t>Капітальний ремонт фасаду будівлі за адресою: вул.Шевченка, 10, м.Чорноморськ, Одеського району, Одеської області</t>
  </si>
  <si>
    <t>Капітальний ремонт системи протипожежного захисту будівлі поліклініки № 1 з вбудованою захисною спорудою цивільного захисту (цивільної оборони) сховище обліковий № 57620. розташованої за адресою: вул.1 Травня, буд.1 м.Чорноморськ, Одеської області (інв.номер № 101310011)</t>
  </si>
  <si>
    <t>Капітальний ремонт системи протипожежного захисту відділення сімейної медицини поліклініки № 1, розташованої за адресою: Одеська область, м.Чорноморськ, селище Олександрівка, вулиця Перемоги, 64 літ. "А"; "Б" (інв.номера 101310012; 101310017)</t>
  </si>
  <si>
    <t>Видатки з благоустрою - придбання техніки з обслуговування об'єктів благоустрою - фонтанів</t>
  </si>
  <si>
    <t>Управління освiти Чорноморської мiської ради Одеського району Одеської областi</t>
  </si>
  <si>
    <t>Капітальний ремонт багатоквартирного будинку (ремонт внутрішньобудинкових мереж) за адресою: м.Чорноморськ, вул.Данченка, 15</t>
  </si>
  <si>
    <t>Капітальний ремонт багатоквартирного будинку (ремонт вимощення) за адресою: м.Чорноморськ, вул.Данченка, 19</t>
  </si>
  <si>
    <t>Капітальний ремонт багатоквартирного будинку (ремонт вимощення, створення муралу) за адресою: м.Чорноморськ, вул.Данченка, 21</t>
  </si>
  <si>
    <t>Капітальний ремонт багатоквартирного будинку (відновлення вхідних груп) за адресою: м.Чорноморськ, проспект Миру, 15а</t>
  </si>
  <si>
    <t>Капітальний ремонт багатоквартирного будинку (відновлення вхідних груп) за адресою: м.Чорноморськ, проспект Миру, 18а</t>
  </si>
  <si>
    <t>Капітальний ремонт багатоквартирного будинку (відновлення вхідних груп) за адресою: м.Чорноморськ, вул.Олександрійська, 3</t>
  </si>
  <si>
    <t>0212100</t>
  </si>
  <si>
    <t>2100</t>
  </si>
  <si>
    <t>Стоматологічна допомога населенню</t>
  </si>
  <si>
    <t>0722</t>
  </si>
  <si>
    <t>0218210</t>
  </si>
  <si>
    <t>Муніципальні формування з охорони громадського порядку</t>
  </si>
  <si>
    <t>8210</t>
  </si>
  <si>
    <t>0380</t>
  </si>
  <si>
    <t>Капітальний ремонт ліфту під'їзду № 1 житлового будинку за адресою: Одеська область, Одеський район, м.Чорноморськ, вул.Лазурна, 5 (ОСББ "ЛАЗУРНА 5")</t>
  </si>
  <si>
    <t>Капітальний ремонт елементу благоустрою - улаштування флагштоку для Державного прапору на перехресті вулиць 1 Травня та Паркової</t>
  </si>
  <si>
    <t>Капітальний ремонт об'єкту благоустрою - улаштування тротуарного покриття на кладовищі Старобугівське за адресою: М.Чорноморськ, вул.Радісна, 19</t>
  </si>
  <si>
    <t>Капітальний ремонт мереж електропостачання, заміна електрощитових в багатоквартирному житловому будинку за адресою: м.Чорноморськ, вул.Парусна, 16</t>
  </si>
  <si>
    <t>Відновлення елементів благоустрою - капітальний ремонт прибудинкової території за адресою: м.Чорноморськ, вул.1 Травня, 17</t>
  </si>
  <si>
    <t>Відновлення елементів благоустрою - капітальний ремонт прибудинкової території (улаштування майданчика для контейнера побутових відходів) за адресою: м.Чорноморськ, вул.1 Травня, 17</t>
  </si>
  <si>
    <t>Відновлення елементів благоустрою - капітальний ремонт прибудинкової території (улаштування майданчика для контейнера побутових відходів) за адресою: м.Чорноморськ, вул.Олександрійська, 10</t>
  </si>
  <si>
    <t>Відновлення елементів благоустрою - капітальний ремонт тротуарної доріжки (на ділянці від адміністративної будівлі Чорноморської міської ради до поліклініки № 1) за адресою: вул.1 Травня, 1, м.Чорноморськ, Одеського району, Одеської області</t>
  </si>
  <si>
    <t>Капітальний ремонт об'єкту благоустрою - улаштування дорожнього покриття проїжджої частини по вул.В.Шума від буд. № 6Г до буд. № 6Є в м.Чорноморськ Одеського району Одеської області</t>
  </si>
  <si>
    <t>Відновлення елементів благоустрою - капітальний ремонт прибудинкової території (улаштування майданчика для контейнера побутових відходів) за адресою: м.Чорноморськ, вул.Лазурна, 7</t>
  </si>
  <si>
    <t>Нове будівництво захисної споруди цивільного захисту подвійного призначення Чорноморського економіко - правового ліцею № 1 Чорноморської міської ради Одеського району Одеської області  за адресою: м.Чорноморськ, пров.Шкільний, 8 (розробка проєктно - кошторисної документації)</t>
  </si>
  <si>
    <t>Нове будівництво захисної споруди цивільного захисту подвійного призначення Чорноморського ліцею № 2 Чорноморської міської ради Одеського району Одеської області за адресою: м.Чорноморськ, пр-т Миру, 17-А (розробка проєктно - кошторисної документації)</t>
  </si>
  <si>
    <t>Нове будівництво захисної споруди цивільного захисту подвійного призначення Чорноморського ліцею № 3 Чорноморської міської ради Одеського району Одеської області за адресою: м.Чорноморськ, вул.Паркова, 10-А (розробка проєктно - кошторисної документації)</t>
  </si>
  <si>
    <t>Нове будівництво захисної споруди цивільного захисту подвійного призначення Бурлачобалківської гімназії Чорноморської міської ради Одеського району Одеської області за адресою: м.Чорноморськ, с.Бурлача Балка, вул.Інститутська, 22 (розробка проєктно - кошторисної документації)</t>
  </si>
  <si>
    <t xml:space="preserve">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 політики на 2023 рік </t>
  </si>
  <si>
    <t>попередні</t>
  </si>
  <si>
    <t>відхилення</t>
  </si>
  <si>
    <t>Інвест.проекти</t>
  </si>
  <si>
    <t>Разом</t>
  </si>
  <si>
    <t>Придбання засувок Д 500 мм з обгумованим клином для заміни на водопровідних мережах</t>
  </si>
  <si>
    <t>Придбання частотного перетворювача для заміни аварійного на ЦНС по вул.Транспортна, 11 м.Чорноморську Одеського району Одеської області</t>
  </si>
  <si>
    <t>Придбання шиберних засувок Д 250 мм для реконструкції каналізаційних насосних станцій</t>
  </si>
  <si>
    <t>Придбання засувки Д 600 мм з обгумованим клином для заміни на водогоні Д 700 мм</t>
  </si>
  <si>
    <t>Придбання насосних станцій для заміни зношеного енерговитратного насосного обладнання на НС м.Чорноморська Одеського району, Одеської області</t>
  </si>
  <si>
    <t>Експертне обстеження, капітальний ремонт, заміна ліфтів згідно Міської програми модернізації ліфтового господарства Чорноморської міської ради Одеської області на 2019 - 2025 роки</t>
  </si>
  <si>
    <t>Капітальний ремонт - відновлення елементів благоустрою пішохідної доріжки по вул.Лейтенанта Шмідта (на ділянці від вул.Паромна до будинку вул.Лейтенанта Шмідта 36) в с.Малодолинське, м.Чорноморськ Одеського району Одеської області</t>
  </si>
  <si>
    <t>1518742</t>
  </si>
  <si>
    <t>Заходи із запобігання та ліквідації наслідків надзвичайної ситуації в каналізаційній системі за рахунок коштів резервного фонду місцевого бюджету</t>
  </si>
  <si>
    <t>Капітальний ремонт каналізаційного колектору Ду 800 мм за адресою: Одеська область, Одеський район, м.Чорноморськ, вул.1 Травня (частково) - парк Молодіжний</t>
  </si>
  <si>
    <t>0813221</t>
  </si>
  <si>
    <t>3221</t>
  </si>
  <si>
    <t>1060</t>
  </si>
  <si>
    <t>Грошова компенсація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</si>
  <si>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0813223</t>
  </si>
  <si>
    <t>3223</t>
  </si>
  <si>
    <t>Грошова компенсація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</si>
  <si>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Капітальний ремонт вимощення та цокольної частини фасаду багатоквартирного будинку за адресою: м.Чорноморськ, вул.Спортивна, 4 (ЖБК "Чорноморський портовик - 4")</t>
  </si>
  <si>
    <t>Капітальний ремонт ліфту (з виконанням робіт на послуги з технічного огляду та випробувань ліфтів) у 3 під'їзді багатоквартирного будинку за адресою: м.Чорноморськ, проспект Миру, 30 (ОСББ "Мирний 30")</t>
  </si>
  <si>
    <t>Капітальний ремонт ліфту в багатоквартирному будинку за адресою: м.Чорноморськ, вул.Парусна, 3-Б (ОСББ "Фієста")</t>
  </si>
  <si>
    <t>Міська цільова програма підтримки Регіонального сервісного центру ГСЦ МВС в Одеській області в сфері надання адміністративних послуг на 2023 рік</t>
  </si>
  <si>
    <t>0813222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</si>
  <si>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</si>
  <si>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</si>
  <si>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 xml:space="preserve">Міська цільова програма фінансової підтримки Іллічівського міського суду Одеської області на 2023 рік 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</si>
  <si>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</si>
  <si>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</si>
  <si>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</si>
  <si>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</si>
  <si>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0611010</t>
  </si>
  <si>
    <t>1010</t>
  </si>
  <si>
    <t>0910</t>
  </si>
  <si>
    <t>Надання дошкільної освіти</t>
  </si>
  <si>
    <t>Технічне переоснащення системи протипожежного захисту - установка системи пожежної сигналізації (СПС) і системи оповіщення про пожежу та управління евакуацією людей Чорноморської загальноосвітньої школи №7 Чорноморської міської ради, розташованої за адресою: м. Чорноморськ, проспект Миру, 43-А</t>
  </si>
  <si>
    <t>0611022</t>
  </si>
  <si>
    <t>1022</t>
  </si>
  <si>
    <t>0922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</si>
  <si>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коштів місцевого бюджету</t>
  </si>
  <si>
    <t>Система пожежної сигналізації (СПС) і система оповіщення про пожежу та управління евакуацією людей (Робочий проект) проектної документації на об'єкті "Технічне переоснащення системи протипожежного захисту спеціальної  школи за адресою: Одеська область, м. Чорноморськ, вул.Пляжна, 3</t>
  </si>
  <si>
    <t>0611160</t>
  </si>
  <si>
    <t>0990</t>
  </si>
  <si>
    <t>Забезпечення діяльності центрів професійного розвитку педагогічних працівників</t>
  </si>
  <si>
    <t>0618110</t>
  </si>
  <si>
    <t>0900000</t>
  </si>
  <si>
    <t>Служба у справах дітей Чорноморської мiської ради Одеського району Одеської областi</t>
  </si>
  <si>
    <t>0910000</t>
  </si>
  <si>
    <t>0910160</t>
  </si>
  <si>
    <t>Капітальний ремонт системи водопостачання та пожежогасіння житлових будинків підвищеної поверховості  за адресами: м.Чорноморськ, вул.1 Травня, 2; вул.Данченка, 3-Б</t>
  </si>
  <si>
    <t>Капітальний ремонт фасаду з утепленням, відновлення автоматичної системи протипожежного та протидимного захисту в багатоквартирному будинку підвищеної поверховості за адресою: м.Чорноморськ, вул.Данченка, 3-Б</t>
  </si>
  <si>
    <t>Капітальний ремонт фасаду з утепленням, відновлення автоматичної системи протипожежного та протидимного захисту в багатоквартирному будинку підвищеної поверховості за адресою: м.Чорноморськ, вул.1 Травня, 2</t>
  </si>
  <si>
    <t>Капітальний ремонт багатоквартирного будинку (ремонт електромереж) за адресою: м.Чорноморськ, проспект Миру, 6-А</t>
  </si>
  <si>
    <t>Капітальний ремонт покрівлі багатоповерхового житлового будинку за адресою: м.Чорноморськ, проспект Миру, 20-А</t>
  </si>
  <si>
    <t>Капітальний ремонт покрівлі багатоповерхового житлового будинку за адресою: м.Чорноморськ, вул.Паркова, 20</t>
  </si>
  <si>
    <t>Реконструкція систем центрального опалення в багатоквартирних будинках за адресами: м. Чорноморськ, вул. 1 Травня, 2, вул. Данченка, 3-Б</t>
  </si>
  <si>
    <t>Капітальний ремонт дитячих та спортивних майданчиків</t>
  </si>
  <si>
    <t xml:space="preserve">Реконструкція сталевої ділянки водогону Д 700 мм за адресою: Одеська область, Овідіопольський район, с. Молодіжне, район вул. Заводської </t>
  </si>
  <si>
    <t>Реконструкція каналізаційного трубопроводу Д150 мм за адресою: Одеська область, Одеський район, м.Чорноморськ, вул.Корабельна, 10</t>
  </si>
  <si>
    <t>Придбання витратоміру Д 500 мм для встановлення на вузлі обліку води в с. В. Дальник, Одеського району, Одеської області</t>
  </si>
  <si>
    <t>Реконструкція трубопроводу для відновлення вводу водопроводу на КНП "Чорноморська лікарня" Чорноморської міської ради Одеського району Одеської області за адресою: м. Чорноморськ, вул. В. Шума, 4</t>
  </si>
  <si>
    <t>Капітальний ремонт (заміна вікон) в багатоквартирному  будинку за адресою: м.Чорноморськ, вулиця Олександрійська, 20</t>
  </si>
  <si>
    <t>Капітальний ремонт (заміна вікон) в приміщеннях загального користування багатоквартирного будинка за адресою: м.Чорноморськ, вулиця Олександрійська, 24</t>
  </si>
  <si>
    <t xml:space="preserve">Капітальний ремонт житлового фонду </t>
  </si>
  <si>
    <t>Додаток 4</t>
  </si>
  <si>
    <t>Капітальний ремонт внутрішньобудинкових мереж багатоквартирного будинку за адресою: м.Чорноморськ, вул.В.Шума, 13</t>
  </si>
  <si>
    <t>Відновлення елементів благоустрою - капітальний ремонт прибудинкової території з улаштуванням майданчика для контейнерів побутових відходів за адресою: м.Чорноморськ, вул.Олександрійська, 2</t>
  </si>
  <si>
    <t>Відновлення елементів благоустрою - капітальний ремонт прибудинкової території (улаштування пандусу) в багатоквартирному будинку за адресою: м.Чорноморськ, проспект Миру, 15-Б</t>
  </si>
  <si>
    <t>Капітальний ремонт житлового будинку за адресою: м.Чорноморськ, проспект Миру, 12</t>
  </si>
  <si>
    <t>Капітальний ремонт житлового  будинку за адресою: м.Чорноморськ, проспект Миру, 16</t>
  </si>
  <si>
    <t>Відновлення елементів благоустрою - капітальний ремонт прибудинкової території (улаштування майданчика для контейнерів побутових відходів) за адресою: м.Чорноморськ, проспект Миру, 2</t>
  </si>
  <si>
    <t>Капітальний ремонт (заміна вікон та дверей) у багатоквартирному будинку за адресою: м.Чорноморськ, вул. Парусна, 6</t>
  </si>
  <si>
    <t>від 21.08. 2023 № 436 -VIII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</si>
</sst>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%"/>
  </numFmts>
  <fonts count="22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i/>
      <sz val="14"/>
      <name val="Times New Roman"/>
      <family val="1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i/>
      <sz val="14"/>
      <name val="Times New Roman"/>
      <family val="1"/>
      <charset val="204"/>
    </font>
    <font>
      <sz val="12"/>
      <name val="Arial Cyr"/>
      <charset val="204"/>
    </font>
    <font>
      <b/>
      <vertAlign val="superscript"/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4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D9E1F2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164" fontId="19" fillId="0" borderId="0" applyFont="0" applyFill="0" applyBorder="0" applyAlignment="0" applyProtection="0"/>
  </cellStyleXfs>
  <cellXfs count="107">
    <xf numFmtId="0" fontId="0" fillId="0" borderId="0" xfId="0"/>
    <xf numFmtId="4" fontId="2" fillId="2" borderId="0" xfId="0" applyNumberFormat="1" applyFont="1" applyFill="1"/>
    <xf numFmtId="0" fontId="1" fillId="2" borderId="1" xfId="0" applyFont="1" applyFill="1" applyBorder="1"/>
    <xf numFmtId="0" fontId="3" fillId="2" borderId="0" xfId="0" applyFont="1" applyFill="1"/>
    <xf numFmtId="49" fontId="2" fillId="2" borderId="0" xfId="0" applyNumberFormat="1" applyFont="1" applyFill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left" vertical="center" wrapText="1"/>
    </xf>
    <xf numFmtId="3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3" fillId="2" borderId="0" xfId="0" applyFont="1" applyFill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8" fillId="0" borderId="0" xfId="0" applyFont="1"/>
    <xf numFmtId="0" fontId="1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2" fillId="2" borderId="0" xfId="0" applyFont="1" applyFill="1" applyAlignment="1">
      <alignment horizontal="right" vertical="center" wrapText="1"/>
    </xf>
    <xf numFmtId="4" fontId="2" fillId="2" borderId="0" xfId="0" applyNumberFormat="1" applyFont="1" applyFill="1" applyAlignment="1">
      <alignment horizontal="center"/>
    </xf>
    <xf numFmtId="4" fontId="2" fillId="2" borderId="1" xfId="0" applyNumberFormat="1" applyFont="1" applyFill="1" applyBorder="1" applyAlignment="1">
      <alignment horizontal="center" wrapText="1"/>
    </xf>
    <xf numFmtId="165" fontId="1" fillId="2" borderId="1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/>
    </xf>
    <xf numFmtId="4" fontId="2" fillId="2" borderId="2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10" fillId="2" borderId="0" xfId="0" applyFont="1" applyFill="1"/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4" fontId="1" fillId="2" borderId="1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1" fillId="2" borderId="2" xfId="0" applyFont="1" applyFill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9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4" fontId="11" fillId="2" borderId="2" xfId="0" applyNumberFormat="1" applyFont="1" applyFill="1" applyBorder="1" applyAlignment="1">
      <alignment horizontal="center" vertical="center" wrapText="1"/>
    </xf>
    <xf numFmtId="0" fontId="15" fillId="2" borderId="1" xfId="0" quotePrefix="1" applyFont="1" applyFill="1" applyBorder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left" vertical="center" wrapText="1"/>
    </xf>
    <xf numFmtId="0" fontId="11" fillId="2" borderId="1" xfId="0" quotePrefix="1" applyFont="1" applyFill="1" applyBorder="1" applyAlignment="1">
      <alignment horizontal="left" vertical="center" wrapText="1"/>
    </xf>
    <xf numFmtId="0" fontId="17" fillId="2" borderId="1" xfId="0" quotePrefix="1" applyFont="1" applyFill="1" applyBorder="1" applyAlignment="1">
      <alignment vertical="center" wrapText="1"/>
    </xf>
    <xf numFmtId="4" fontId="17" fillId="2" borderId="1" xfId="0" applyNumberFormat="1" applyFont="1" applyFill="1" applyBorder="1" applyAlignment="1">
      <alignment horizontal="center" vertical="center"/>
    </xf>
    <xf numFmtId="4" fontId="15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8" fillId="2" borderId="1" xfId="1" applyFont="1" applyFill="1" applyBorder="1" applyAlignment="1">
      <alignment vertical="center" wrapText="1"/>
    </xf>
    <xf numFmtId="0" fontId="15" fillId="2" borderId="1" xfId="0" applyFont="1" applyFill="1" applyBorder="1" applyAlignment="1">
      <alignment wrapText="1"/>
    </xf>
    <xf numFmtId="4" fontId="15" fillId="2" borderId="1" xfId="0" applyNumberFormat="1" applyFont="1" applyFill="1" applyBorder="1" applyAlignment="1">
      <alignment horizontal="center" vertical="center" wrapText="1"/>
    </xf>
    <xf numFmtId="4" fontId="15" fillId="2" borderId="1" xfId="7" applyNumberFormat="1" applyFont="1" applyFill="1" applyBorder="1" applyAlignment="1">
      <alignment horizontal="center" vertical="center"/>
    </xf>
    <xf numFmtId="4" fontId="15" fillId="2" borderId="1" xfId="7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5" fillId="2" borderId="1" xfId="0" quotePrefix="1" applyFont="1" applyFill="1" applyBorder="1" applyAlignment="1">
      <alignment wrapText="1"/>
    </xf>
    <xf numFmtId="0" fontId="11" fillId="2" borderId="5" xfId="0" applyFont="1" applyFill="1" applyBorder="1" applyAlignment="1">
      <alignment horizontal="left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0" fontId="6" fillId="3" borderId="0" xfId="0" applyFont="1" applyFill="1" applyAlignment="1">
      <alignment horizontal="right"/>
    </xf>
    <xf numFmtId="49" fontId="2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center" vertical="center"/>
    </xf>
    <xf numFmtId="4" fontId="2" fillId="3" borderId="1" xfId="7" applyNumberFormat="1" applyFont="1" applyFill="1" applyBorder="1" applyAlignment="1">
      <alignment horizontal="center" vertical="center"/>
    </xf>
    <xf numFmtId="4" fontId="2" fillId="3" borderId="1" xfId="7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" fontId="2" fillId="3" borderId="0" xfId="0" applyNumberFormat="1" applyFont="1" applyFill="1" applyAlignment="1">
      <alignment horizontal="center"/>
    </xf>
    <xf numFmtId="4" fontId="2" fillId="3" borderId="0" xfId="0" applyNumberFormat="1" applyFont="1" applyFill="1"/>
    <xf numFmtId="4" fontId="1" fillId="3" borderId="0" xfId="0" applyNumberFormat="1" applyFont="1" applyFill="1"/>
    <xf numFmtId="0" fontId="6" fillId="3" borderId="1" xfId="0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vertical="center" wrapText="1"/>
    </xf>
    <xf numFmtId="0" fontId="2" fillId="4" borderId="0" xfId="0" applyFont="1" applyFill="1"/>
    <xf numFmtId="3" fontId="2" fillId="2" borderId="2" xfId="0" applyNumberFormat="1" applyFont="1" applyFill="1" applyBorder="1" applyAlignment="1">
      <alignment horizontal="center" vertical="center" wrapText="1"/>
    </xf>
    <xf numFmtId="4" fontId="2" fillId="2" borderId="1" xfId="6" applyNumberFormat="1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/>
    </xf>
    <xf numFmtId="4" fontId="1" fillId="6" borderId="1" xfId="0" applyNumberFormat="1" applyFont="1" applyFill="1" applyBorder="1" applyAlignment="1">
      <alignment horizontal="center" vertical="center"/>
    </xf>
    <xf numFmtId="4" fontId="20" fillId="3" borderId="0" xfId="0" applyNumberFormat="1" applyFont="1" applyFill="1"/>
    <xf numFmtId="49" fontId="1" fillId="2" borderId="1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2" fillId="0" borderId="3" xfId="0" applyFont="1" applyBorder="1"/>
    <xf numFmtId="0" fontId="6" fillId="2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" fillId="2" borderId="5" xfId="6" applyFont="1" applyFill="1" applyBorder="1" applyAlignment="1">
      <alignment horizontal="center" wrapText="1"/>
    </xf>
    <xf numFmtId="0" fontId="1" fillId="2" borderId="6" xfId="6" applyFont="1" applyFill="1" applyBorder="1" applyAlignment="1">
      <alignment horizontal="center" wrapText="1"/>
    </xf>
    <xf numFmtId="0" fontId="1" fillId="2" borderId="5" xfId="6" applyFont="1" applyFill="1" applyBorder="1" applyAlignment="1">
      <alignment horizontal="center" vertical="center" wrapText="1"/>
    </xf>
    <xf numFmtId="0" fontId="1" fillId="2" borderId="6" xfId="6" applyFont="1" applyFill="1" applyBorder="1" applyAlignment="1">
      <alignment horizontal="center" vertical="center" wrapText="1"/>
    </xf>
    <xf numFmtId="0" fontId="2" fillId="2" borderId="5" xfId="6" applyFont="1" applyFill="1" applyBorder="1" applyAlignment="1">
      <alignment horizontal="left" wrapText="1"/>
    </xf>
    <xf numFmtId="0" fontId="2" fillId="2" borderId="6" xfId="6" applyFont="1" applyFill="1" applyBorder="1" applyAlignment="1">
      <alignment horizontal="left" wrapText="1"/>
    </xf>
    <xf numFmtId="0" fontId="2" fillId="2" borderId="5" xfId="2" applyFont="1" applyFill="1" applyBorder="1" applyAlignment="1">
      <alignment horizontal="left" vertical="center" wrapText="1"/>
    </xf>
    <xf numFmtId="0" fontId="2" fillId="2" borderId="6" xfId="2" applyFont="1" applyFill="1" applyBorder="1" applyAlignment="1">
      <alignment horizontal="left" vertical="center" wrapText="1"/>
    </xf>
    <xf numFmtId="0" fontId="1" fillId="2" borderId="1" xfId="6" applyFont="1" applyFill="1" applyBorder="1" applyAlignment="1">
      <alignment horizontal="center" wrapText="1"/>
    </xf>
    <xf numFmtId="0" fontId="21" fillId="0" borderId="0" xfId="0" applyFont="1"/>
    <xf numFmtId="0" fontId="21" fillId="5" borderId="0" xfId="0" applyFont="1" applyFill="1"/>
  </cellXfs>
  <cellStyles count="8">
    <cellStyle name="Звичайни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  <cellStyle name="Обычный 5" xfId="4" xr:uid="{00000000-0005-0000-0000-000004000000}"/>
    <cellStyle name="Обычный 6" xfId="5" xr:uid="{00000000-0005-0000-0000-000005000000}"/>
    <cellStyle name="Обычный_дод 3" xfId="6" xr:uid="{00000000-0005-0000-0000-000006000000}"/>
    <cellStyle name="Фінансовий" xfId="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1%20(2)%20&#1060;&#1110;&#1085;&#1072;&#1085;&#1089;&#1091;&#1074;&#1072;&#1085;&#1085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"/>
    </sheetNames>
    <sheetDataSet>
      <sheetData sheetId="0">
        <row r="27">
          <cell r="D27">
            <v>-222223996.29000002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3.2" x14ac:dyDescent="0.25"/>
  <sheetData/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250"/>
  <sheetViews>
    <sheetView tabSelected="1" view="pageBreakPreview" topLeftCell="E1" zoomScaleNormal="100" zoomScaleSheetLayoutView="100" workbookViewId="0">
      <selection activeCell="H4" sqref="H4:I4"/>
    </sheetView>
  </sheetViews>
  <sheetFormatPr defaultColWidth="9.109375" defaultRowHeight="18" x14ac:dyDescent="0.35"/>
  <cols>
    <col min="1" max="1" width="17.109375" style="16" customWidth="1"/>
    <col min="2" max="2" width="13.44140625" style="5" customWidth="1"/>
    <col min="3" max="3" width="15.5546875" style="5" customWidth="1"/>
    <col min="4" max="4" width="40" style="5" customWidth="1"/>
    <col min="5" max="5" width="78.44140625" style="8" customWidth="1"/>
    <col min="6" max="6" width="13.5546875" style="8" customWidth="1"/>
    <col min="7" max="7" width="16.6640625" style="8" customWidth="1"/>
    <col min="8" max="8" width="18.6640625" style="5" customWidth="1"/>
    <col min="9" max="9" width="40.88671875" style="5" customWidth="1"/>
    <col min="10" max="12" width="40.88671875" style="66" hidden="1" customWidth="1"/>
    <col min="13" max="13" width="40.88671875" style="5" customWidth="1"/>
    <col min="14" max="14" width="18.44140625" style="5" bestFit="1" customWidth="1"/>
    <col min="15" max="15" width="18" style="5" bestFit="1" customWidth="1"/>
    <col min="16" max="16" width="15.5546875" style="5" bestFit="1" customWidth="1"/>
    <col min="17" max="16384" width="9.109375" style="5"/>
  </cols>
  <sheetData>
    <row r="1" spans="1:13" x14ac:dyDescent="0.35">
      <c r="H1" s="24" t="s">
        <v>327</v>
      </c>
    </row>
    <row r="2" spans="1:13" x14ac:dyDescent="0.35">
      <c r="H2" s="24" t="s">
        <v>14</v>
      </c>
    </row>
    <row r="3" spans="1:13" x14ac:dyDescent="0.35">
      <c r="H3" s="24" t="s">
        <v>15</v>
      </c>
    </row>
    <row r="4" spans="1:13" x14ac:dyDescent="0.35">
      <c r="H4" s="105" t="s">
        <v>335</v>
      </c>
      <c r="I4" s="106"/>
    </row>
    <row r="6" spans="1:13" x14ac:dyDescent="0.35">
      <c r="H6" s="24" t="s">
        <v>23</v>
      </c>
    </row>
    <row r="7" spans="1:13" x14ac:dyDescent="0.35">
      <c r="H7" s="24" t="s">
        <v>14</v>
      </c>
    </row>
    <row r="8" spans="1:13" x14ac:dyDescent="0.35">
      <c r="H8" s="24" t="s">
        <v>15</v>
      </c>
    </row>
    <row r="9" spans="1:13" x14ac:dyDescent="0.35">
      <c r="H9" s="24" t="s">
        <v>13</v>
      </c>
    </row>
    <row r="10" spans="1:13" x14ac:dyDescent="0.35">
      <c r="H10" s="24" t="s">
        <v>24</v>
      </c>
    </row>
    <row r="11" spans="1:13" x14ac:dyDescent="0.35">
      <c r="A11" s="89">
        <v>1558900000</v>
      </c>
      <c r="B11" s="89"/>
      <c r="H11" s="24"/>
    </row>
    <row r="12" spans="1:13" x14ac:dyDescent="0.35">
      <c r="A12" s="90" t="s">
        <v>12</v>
      </c>
      <c r="B12" s="90"/>
      <c r="D12" s="16"/>
      <c r="H12" s="12"/>
    </row>
    <row r="13" spans="1:13" s="3" customFormat="1" ht="45" customHeight="1" x14ac:dyDescent="0.4">
      <c r="A13" s="91" t="s">
        <v>19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</row>
    <row r="14" spans="1:13" s="3" customFormat="1" ht="21" x14ac:dyDescent="0.4">
      <c r="A14" s="9"/>
      <c r="D14" s="10"/>
      <c r="E14" s="11"/>
      <c r="F14" s="13"/>
      <c r="G14" s="13"/>
      <c r="H14" s="10"/>
      <c r="I14" s="10"/>
      <c r="J14" s="67" t="s">
        <v>2</v>
      </c>
      <c r="K14" s="67"/>
      <c r="L14" s="67"/>
      <c r="M14" s="10"/>
    </row>
    <row r="15" spans="1:13" s="25" customFormat="1" ht="15.6" customHeight="1" x14ac:dyDescent="0.3">
      <c r="A15" s="92" t="s">
        <v>3</v>
      </c>
      <c r="B15" s="92" t="s">
        <v>4</v>
      </c>
      <c r="C15" s="92" t="s">
        <v>1</v>
      </c>
      <c r="D15" s="92" t="s">
        <v>5</v>
      </c>
      <c r="E15" s="92" t="s">
        <v>18</v>
      </c>
      <c r="F15" s="92" t="s">
        <v>6</v>
      </c>
      <c r="G15" s="92" t="s">
        <v>7</v>
      </c>
      <c r="H15" s="92" t="s">
        <v>8</v>
      </c>
      <c r="I15" s="92" t="s">
        <v>9</v>
      </c>
      <c r="J15" s="95" t="s">
        <v>43</v>
      </c>
      <c r="K15" s="95"/>
      <c r="L15" s="95"/>
      <c r="M15" s="92" t="s">
        <v>10</v>
      </c>
    </row>
    <row r="16" spans="1:13" s="25" customFormat="1" ht="62.4" x14ac:dyDescent="0.3">
      <c r="A16" s="93"/>
      <c r="B16" s="93"/>
      <c r="C16" s="93"/>
      <c r="D16" s="94"/>
      <c r="E16" s="94"/>
      <c r="F16" s="94"/>
      <c r="G16" s="94"/>
      <c r="H16" s="94"/>
      <c r="I16" s="94"/>
      <c r="J16" s="80" t="s">
        <v>45</v>
      </c>
      <c r="K16" s="80" t="s">
        <v>46</v>
      </c>
      <c r="L16" s="80" t="s">
        <v>44</v>
      </c>
      <c r="M16" s="94"/>
    </row>
    <row r="17" spans="1:15" x14ac:dyDescent="0.35">
      <c r="A17" s="14">
        <v>1</v>
      </c>
      <c r="B17" s="14">
        <v>2</v>
      </c>
      <c r="C17" s="14">
        <v>3</v>
      </c>
      <c r="D17" s="15">
        <v>4</v>
      </c>
      <c r="E17" s="15">
        <v>5</v>
      </c>
      <c r="F17" s="28">
        <v>6</v>
      </c>
      <c r="G17" s="28">
        <v>7</v>
      </c>
      <c r="H17" s="15">
        <v>8</v>
      </c>
      <c r="I17" s="15">
        <v>9</v>
      </c>
      <c r="J17" s="68" t="s">
        <v>11</v>
      </c>
      <c r="K17" s="68" t="s">
        <v>42</v>
      </c>
      <c r="L17" s="68" t="s">
        <v>47</v>
      </c>
      <c r="M17" s="15">
        <v>10</v>
      </c>
    </row>
    <row r="18" spans="1:15" ht="18.75" customHeight="1" x14ac:dyDescent="0.35">
      <c r="A18" s="29" t="s">
        <v>20</v>
      </c>
      <c r="B18" s="29"/>
      <c r="C18" s="29"/>
      <c r="D18" s="96" t="s">
        <v>22</v>
      </c>
      <c r="E18" s="97"/>
      <c r="F18" s="28"/>
      <c r="G18" s="30"/>
      <c r="H18" s="31"/>
      <c r="I18" s="36">
        <f t="shared" ref="I18:L18" si="0">I19</f>
        <v>3135300</v>
      </c>
      <c r="J18" s="69">
        <f t="shared" si="0"/>
        <v>2763327</v>
      </c>
      <c r="K18" s="69">
        <f t="shared" si="0"/>
        <v>371973</v>
      </c>
      <c r="L18" s="69">
        <f t="shared" si="0"/>
        <v>0</v>
      </c>
      <c r="M18" s="49"/>
      <c r="N18" s="1"/>
      <c r="O18" s="1"/>
    </row>
    <row r="19" spans="1:15" ht="18.75" customHeight="1" x14ac:dyDescent="0.35">
      <c r="A19" s="29" t="s">
        <v>21</v>
      </c>
      <c r="B19" s="27"/>
      <c r="C19" s="27"/>
      <c r="D19" s="96" t="s">
        <v>22</v>
      </c>
      <c r="E19" s="97"/>
      <c r="F19" s="28"/>
      <c r="G19" s="30"/>
      <c r="H19" s="31"/>
      <c r="I19" s="36">
        <f>I20+I23+I24+I25+I26</f>
        <v>3135300</v>
      </c>
      <c r="J19" s="69">
        <f>J20+J23+J24+J25+J26</f>
        <v>2763327</v>
      </c>
      <c r="K19" s="69">
        <f t="shared" ref="K19:L19" si="1">K20+K23+K24+K25+K26</f>
        <v>371973</v>
      </c>
      <c r="L19" s="69">
        <f t="shared" si="1"/>
        <v>0</v>
      </c>
      <c r="M19" s="49"/>
      <c r="N19" s="1"/>
    </row>
    <row r="20" spans="1:15" ht="126" x14ac:dyDescent="0.35">
      <c r="A20" s="32" t="s">
        <v>25</v>
      </c>
      <c r="B20" s="32" t="s">
        <v>26</v>
      </c>
      <c r="C20" s="48" t="s">
        <v>27</v>
      </c>
      <c r="D20" s="46" t="s">
        <v>28</v>
      </c>
      <c r="E20" s="26" t="s">
        <v>29</v>
      </c>
      <c r="F20" s="28"/>
      <c r="G20" s="30"/>
      <c r="H20" s="31"/>
      <c r="I20" s="49">
        <f>I21+I22</f>
        <v>1144000</v>
      </c>
      <c r="J20" s="70">
        <f>J21+J22</f>
        <v>1144000</v>
      </c>
      <c r="K20" s="70"/>
      <c r="L20" s="70"/>
      <c r="M20" s="49"/>
    </row>
    <row r="21" spans="1:15" s="40" customFormat="1" x14ac:dyDescent="0.35">
      <c r="A21" s="43"/>
      <c r="B21" s="43"/>
      <c r="C21" s="56"/>
      <c r="D21" s="53"/>
      <c r="E21" s="44" t="s">
        <v>214</v>
      </c>
      <c r="F21" s="38"/>
      <c r="G21" s="45"/>
      <c r="H21" s="39"/>
      <c r="I21" s="50">
        <f>490000+554000</f>
        <v>1044000</v>
      </c>
      <c r="J21" s="71">
        <f>490000+554000</f>
        <v>1044000</v>
      </c>
      <c r="K21" s="71"/>
      <c r="L21" s="71"/>
      <c r="M21" s="50"/>
    </row>
    <row r="22" spans="1:15" s="40" customFormat="1" x14ac:dyDescent="0.35">
      <c r="A22" s="43"/>
      <c r="B22" s="43"/>
      <c r="C22" s="43"/>
      <c r="D22" s="44"/>
      <c r="E22" s="44" t="s">
        <v>215</v>
      </c>
      <c r="F22" s="38"/>
      <c r="G22" s="45"/>
      <c r="H22" s="39"/>
      <c r="I22" s="50">
        <v>100000</v>
      </c>
      <c r="J22" s="71">
        <v>100000</v>
      </c>
      <c r="K22" s="71"/>
      <c r="L22" s="71"/>
      <c r="M22" s="50"/>
    </row>
    <row r="23" spans="1:15" ht="90" x14ac:dyDescent="0.35">
      <c r="A23" s="32" t="s">
        <v>30</v>
      </c>
      <c r="B23" s="32" t="s">
        <v>31</v>
      </c>
      <c r="C23" s="48" t="s">
        <v>32</v>
      </c>
      <c r="D23" s="46" t="s">
        <v>33</v>
      </c>
      <c r="E23" s="51" t="s">
        <v>34</v>
      </c>
      <c r="F23" s="15"/>
      <c r="G23" s="49"/>
      <c r="H23" s="31"/>
      <c r="I23" s="49">
        <v>950000</v>
      </c>
      <c r="J23" s="70">
        <v>578027</v>
      </c>
      <c r="K23" s="70">
        <v>371973</v>
      </c>
      <c r="L23" s="70"/>
      <c r="M23" s="49"/>
    </row>
    <row r="24" spans="1:15" ht="36" x14ac:dyDescent="0.35">
      <c r="A24" s="32" t="s">
        <v>238</v>
      </c>
      <c r="B24" s="32" t="s">
        <v>239</v>
      </c>
      <c r="C24" s="65" t="s">
        <v>241</v>
      </c>
      <c r="D24" s="46" t="s">
        <v>240</v>
      </c>
      <c r="E24" s="51" t="s">
        <v>63</v>
      </c>
      <c r="F24" s="15"/>
      <c r="G24" s="49"/>
      <c r="H24" s="31"/>
      <c r="I24" s="49">
        <v>27300</v>
      </c>
      <c r="J24" s="70">
        <v>27300</v>
      </c>
      <c r="K24" s="70"/>
      <c r="L24" s="70"/>
      <c r="M24" s="49"/>
    </row>
    <row r="25" spans="1:15" ht="72" x14ac:dyDescent="0.35">
      <c r="A25" s="32" t="s">
        <v>290</v>
      </c>
      <c r="B25" s="32" t="s">
        <v>291</v>
      </c>
      <c r="C25" s="65" t="s">
        <v>292</v>
      </c>
      <c r="D25" s="46" t="s">
        <v>293</v>
      </c>
      <c r="E25" s="51" t="s">
        <v>63</v>
      </c>
      <c r="F25" s="28"/>
      <c r="G25" s="30"/>
      <c r="H25" s="31"/>
      <c r="I25" s="49">
        <v>70000</v>
      </c>
      <c r="J25" s="70">
        <v>70000</v>
      </c>
      <c r="K25" s="70"/>
      <c r="L25" s="70"/>
      <c r="M25" s="49"/>
    </row>
    <row r="26" spans="1:15" ht="36" x14ac:dyDescent="0.35">
      <c r="A26" s="32" t="s">
        <v>242</v>
      </c>
      <c r="B26" s="32" t="s">
        <v>244</v>
      </c>
      <c r="C26" s="65" t="s">
        <v>245</v>
      </c>
      <c r="D26" s="46" t="s">
        <v>243</v>
      </c>
      <c r="E26" s="51" t="s">
        <v>63</v>
      </c>
      <c r="F26" s="28"/>
      <c r="G26" s="30"/>
      <c r="H26" s="31"/>
      <c r="I26" s="49">
        <f>1300000-250000-106000</f>
        <v>944000</v>
      </c>
      <c r="J26" s="70">
        <f>1300000-250000-106000</f>
        <v>944000</v>
      </c>
      <c r="K26" s="70"/>
      <c r="L26" s="70"/>
      <c r="M26" s="49"/>
    </row>
    <row r="27" spans="1:15" ht="18.75" customHeight="1" x14ac:dyDescent="0.35">
      <c r="A27" s="29" t="s">
        <v>35</v>
      </c>
      <c r="B27" s="27" t="s">
        <v>36</v>
      </c>
      <c r="C27" s="27" t="s">
        <v>36</v>
      </c>
      <c r="D27" s="96" t="s">
        <v>231</v>
      </c>
      <c r="E27" s="97"/>
      <c r="F27" s="28"/>
      <c r="G27" s="30"/>
      <c r="H27" s="31"/>
      <c r="I27" s="36">
        <f>I28</f>
        <v>23447596</v>
      </c>
      <c r="J27" s="69">
        <f t="shared" ref="J27:L27" si="2">J28</f>
        <v>22069000</v>
      </c>
      <c r="K27" s="69">
        <f t="shared" si="2"/>
        <v>1378596</v>
      </c>
      <c r="L27" s="69">
        <f t="shared" si="2"/>
        <v>0</v>
      </c>
      <c r="M27" s="49"/>
      <c r="N27" s="1"/>
    </row>
    <row r="28" spans="1:15" ht="18.75" customHeight="1" x14ac:dyDescent="0.35">
      <c r="A28" s="29" t="s">
        <v>37</v>
      </c>
      <c r="B28" s="27" t="s">
        <v>36</v>
      </c>
      <c r="C28" s="27" t="s">
        <v>36</v>
      </c>
      <c r="D28" s="96" t="s">
        <v>231</v>
      </c>
      <c r="E28" s="97"/>
      <c r="F28" s="28"/>
      <c r="G28" s="30"/>
      <c r="H28" s="31"/>
      <c r="I28" s="36">
        <f>I29+I30+I34+I37+I38</f>
        <v>23447596</v>
      </c>
      <c r="J28" s="69">
        <f>J29+J30+J34+J37+J38</f>
        <v>22069000</v>
      </c>
      <c r="K28" s="69">
        <f t="shared" ref="K28:L28" si="3">K29+K30+K34+K37+K38</f>
        <v>1378596</v>
      </c>
      <c r="L28" s="69">
        <f t="shared" si="3"/>
        <v>0</v>
      </c>
      <c r="M28" s="49"/>
      <c r="N28" s="1"/>
    </row>
    <row r="29" spans="1:15" x14ac:dyDescent="0.35">
      <c r="A29" s="32" t="s">
        <v>294</v>
      </c>
      <c r="B29" s="32" t="s">
        <v>295</v>
      </c>
      <c r="C29" s="48" t="s">
        <v>296</v>
      </c>
      <c r="D29" s="46" t="s">
        <v>297</v>
      </c>
      <c r="E29" s="51" t="s">
        <v>63</v>
      </c>
      <c r="F29" s="28"/>
      <c r="G29" s="30"/>
      <c r="H29" s="31"/>
      <c r="I29" s="49">
        <f>1600000+1120000+150000+1650000+1500000+1650000</f>
        <v>7670000</v>
      </c>
      <c r="J29" s="70">
        <v>7670000</v>
      </c>
      <c r="K29" s="70"/>
      <c r="L29" s="70"/>
      <c r="M29" s="49"/>
    </row>
    <row r="30" spans="1:15" ht="72" x14ac:dyDescent="0.35">
      <c r="A30" s="32" t="s">
        <v>38</v>
      </c>
      <c r="B30" s="32" t="s">
        <v>39</v>
      </c>
      <c r="C30" s="48" t="s">
        <v>40</v>
      </c>
      <c r="D30" s="46" t="s">
        <v>41</v>
      </c>
      <c r="E30" s="51" t="s">
        <v>29</v>
      </c>
      <c r="F30" s="28"/>
      <c r="G30" s="30"/>
      <c r="H30" s="31"/>
      <c r="I30" s="49">
        <f>I31+I32+I33</f>
        <v>11013596</v>
      </c>
      <c r="J30" s="70">
        <f>J31+J32+J33</f>
        <v>9635000</v>
      </c>
      <c r="K30" s="70">
        <f t="shared" ref="K30:L30" si="4">K31+K32+K33</f>
        <v>1378596</v>
      </c>
      <c r="L30" s="70">
        <f t="shared" si="4"/>
        <v>0</v>
      </c>
      <c r="M30" s="49"/>
    </row>
    <row r="31" spans="1:15" ht="90" x14ac:dyDescent="0.35">
      <c r="A31" s="32"/>
      <c r="B31" s="32"/>
      <c r="C31" s="48"/>
      <c r="D31" s="46"/>
      <c r="E31" s="51" t="s">
        <v>48</v>
      </c>
      <c r="F31" s="28"/>
      <c r="G31" s="30"/>
      <c r="H31" s="31"/>
      <c r="I31" s="49">
        <f>1486596+450000</f>
        <v>1936596</v>
      </c>
      <c r="J31" s="70">
        <f>450000+108000</f>
        <v>558000</v>
      </c>
      <c r="K31" s="70">
        <f>1486596-108000</f>
        <v>1378596</v>
      </c>
      <c r="L31" s="70"/>
      <c r="M31" s="49"/>
    </row>
    <row r="32" spans="1:15" ht="108" x14ac:dyDescent="0.35">
      <c r="A32" s="32"/>
      <c r="B32" s="32"/>
      <c r="C32" s="48"/>
      <c r="D32" s="46"/>
      <c r="E32" s="51" t="s">
        <v>298</v>
      </c>
      <c r="F32" s="28"/>
      <c r="G32" s="30"/>
      <c r="H32" s="31"/>
      <c r="I32" s="49">
        <v>1145000</v>
      </c>
      <c r="J32" s="70">
        <v>1145000</v>
      </c>
      <c r="K32" s="70"/>
      <c r="L32" s="70"/>
      <c r="M32" s="49"/>
    </row>
    <row r="33" spans="1:14" x14ac:dyDescent="0.35">
      <c r="A33" s="32"/>
      <c r="B33" s="32"/>
      <c r="C33" s="48"/>
      <c r="D33" s="46"/>
      <c r="E33" s="51" t="s">
        <v>63</v>
      </c>
      <c r="F33" s="28"/>
      <c r="G33" s="30"/>
      <c r="H33" s="31"/>
      <c r="I33" s="49">
        <v>7932000</v>
      </c>
      <c r="J33" s="70">
        <v>7932000</v>
      </c>
      <c r="K33" s="70"/>
      <c r="L33" s="70"/>
      <c r="M33" s="49"/>
    </row>
    <row r="34" spans="1:14" ht="126" x14ac:dyDescent="0.35">
      <c r="A34" s="32" t="s">
        <v>299</v>
      </c>
      <c r="B34" s="32" t="s">
        <v>300</v>
      </c>
      <c r="C34" s="48" t="s">
        <v>301</v>
      </c>
      <c r="D34" s="46" t="s">
        <v>302</v>
      </c>
      <c r="E34" s="51" t="s">
        <v>29</v>
      </c>
      <c r="F34" s="28"/>
      <c r="G34" s="30"/>
      <c r="H34" s="31"/>
      <c r="I34" s="49">
        <f>I35+I36</f>
        <v>2915000</v>
      </c>
      <c r="J34" s="70">
        <f>J35+J36</f>
        <v>2915000</v>
      </c>
      <c r="K34" s="70"/>
      <c r="L34" s="70"/>
      <c r="M34" s="49"/>
    </row>
    <row r="35" spans="1:14" ht="90" x14ac:dyDescent="0.35">
      <c r="A35" s="32"/>
      <c r="B35" s="32"/>
      <c r="C35" s="48"/>
      <c r="D35" s="46"/>
      <c r="E35" s="51" t="s">
        <v>303</v>
      </c>
      <c r="F35" s="28"/>
      <c r="G35" s="30"/>
      <c r="H35" s="31"/>
      <c r="I35" s="49">
        <v>515000</v>
      </c>
      <c r="J35" s="70">
        <v>515000</v>
      </c>
      <c r="K35" s="70"/>
      <c r="L35" s="70"/>
      <c r="M35" s="49"/>
    </row>
    <row r="36" spans="1:14" x14ac:dyDescent="0.35">
      <c r="A36" s="32"/>
      <c r="B36" s="32"/>
      <c r="C36" s="48"/>
      <c r="D36" s="46"/>
      <c r="E36" s="51" t="s">
        <v>63</v>
      </c>
      <c r="F36" s="28"/>
      <c r="G36" s="30"/>
      <c r="H36" s="31"/>
      <c r="I36" s="49">
        <v>2400000</v>
      </c>
      <c r="J36" s="70">
        <v>2400000</v>
      </c>
      <c r="K36" s="70"/>
      <c r="L36" s="70"/>
      <c r="M36" s="49"/>
    </row>
    <row r="37" spans="1:14" ht="54" x14ac:dyDescent="0.35">
      <c r="A37" s="32" t="s">
        <v>304</v>
      </c>
      <c r="B37" s="32">
        <v>1160</v>
      </c>
      <c r="C37" s="48" t="s">
        <v>305</v>
      </c>
      <c r="D37" s="46" t="s">
        <v>306</v>
      </c>
      <c r="E37" s="51" t="s">
        <v>63</v>
      </c>
      <c r="F37" s="28"/>
      <c r="G37" s="30"/>
      <c r="H37" s="31"/>
      <c r="I37" s="49">
        <v>849000</v>
      </c>
      <c r="J37" s="70">
        <v>849000</v>
      </c>
      <c r="K37" s="70"/>
      <c r="L37" s="70"/>
      <c r="M37" s="49"/>
    </row>
    <row r="38" spans="1:14" ht="54" x14ac:dyDescent="0.35">
      <c r="A38" s="32" t="s">
        <v>307</v>
      </c>
      <c r="B38" s="32">
        <v>8110</v>
      </c>
      <c r="C38" s="48" t="s">
        <v>118</v>
      </c>
      <c r="D38" s="46" t="s">
        <v>119</v>
      </c>
      <c r="E38" s="51" t="s">
        <v>63</v>
      </c>
      <c r="F38" s="28"/>
      <c r="G38" s="30"/>
      <c r="H38" s="31"/>
      <c r="I38" s="49">
        <v>1000000</v>
      </c>
      <c r="J38" s="70">
        <v>1000000</v>
      </c>
      <c r="K38" s="70"/>
      <c r="L38" s="70"/>
      <c r="M38" s="49"/>
    </row>
    <row r="39" spans="1:14" ht="18.75" customHeight="1" x14ac:dyDescent="0.35">
      <c r="A39" s="29" t="s">
        <v>49</v>
      </c>
      <c r="B39" s="27" t="s">
        <v>36</v>
      </c>
      <c r="C39" s="27" t="s">
        <v>36</v>
      </c>
      <c r="D39" s="96" t="s">
        <v>50</v>
      </c>
      <c r="E39" s="97"/>
      <c r="F39" s="28"/>
      <c r="G39" s="30"/>
      <c r="H39" s="31"/>
      <c r="I39" s="36">
        <f>I40</f>
        <v>9446493</v>
      </c>
      <c r="J39" s="69">
        <f t="shared" ref="J39:L39" si="5">J40</f>
        <v>9446493</v>
      </c>
      <c r="K39" s="69">
        <f t="shared" si="5"/>
        <v>0</v>
      </c>
      <c r="L39" s="69">
        <f t="shared" si="5"/>
        <v>0</v>
      </c>
      <c r="M39" s="49"/>
      <c r="N39" s="1"/>
    </row>
    <row r="40" spans="1:14" ht="18.75" customHeight="1" x14ac:dyDescent="0.35">
      <c r="A40" s="29" t="s">
        <v>51</v>
      </c>
      <c r="B40" s="27" t="s">
        <v>36</v>
      </c>
      <c r="C40" s="27" t="s">
        <v>36</v>
      </c>
      <c r="D40" s="96" t="s">
        <v>50</v>
      </c>
      <c r="E40" s="97"/>
      <c r="F40" s="28"/>
      <c r="G40" s="30"/>
      <c r="H40" s="31"/>
      <c r="I40" s="36">
        <f>I41+I42+I43+I44+I45+I46+I47</f>
        <v>9446493</v>
      </c>
      <c r="J40" s="69">
        <f>J41+J42+J43+J44+J45+J46+J47</f>
        <v>9446493</v>
      </c>
      <c r="K40" s="69">
        <f t="shared" ref="K40:L40" si="6">K41+K42+K43+K44+K46+K47</f>
        <v>0</v>
      </c>
      <c r="L40" s="69">
        <f t="shared" si="6"/>
        <v>0</v>
      </c>
      <c r="M40" s="49"/>
      <c r="N40" s="1"/>
    </row>
    <row r="41" spans="1:14" ht="72" x14ac:dyDescent="0.35">
      <c r="A41" s="32" t="s">
        <v>52</v>
      </c>
      <c r="B41" s="32" t="s">
        <v>53</v>
      </c>
      <c r="C41" s="48" t="s">
        <v>27</v>
      </c>
      <c r="D41" s="46" t="s">
        <v>54</v>
      </c>
      <c r="E41" s="51" t="s">
        <v>63</v>
      </c>
      <c r="F41" s="28"/>
      <c r="G41" s="30"/>
      <c r="H41" s="31"/>
      <c r="I41" s="49">
        <v>400000</v>
      </c>
      <c r="J41" s="70">
        <v>400000</v>
      </c>
      <c r="K41" s="70"/>
      <c r="L41" s="70"/>
      <c r="M41" s="49"/>
    </row>
    <row r="42" spans="1:14" ht="108" x14ac:dyDescent="0.35">
      <c r="A42" s="32" t="s">
        <v>55</v>
      </c>
      <c r="B42" s="32" t="s">
        <v>56</v>
      </c>
      <c r="C42" s="48" t="s">
        <v>57</v>
      </c>
      <c r="D42" s="46" t="s">
        <v>58</v>
      </c>
      <c r="E42" s="51" t="s">
        <v>63</v>
      </c>
      <c r="F42" s="28"/>
      <c r="G42" s="30"/>
      <c r="H42" s="31"/>
      <c r="I42" s="49">
        <v>88000</v>
      </c>
      <c r="J42" s="70">
        <v>88000</v>
      </c>
      <c r="K42" s="70"/>
      <c r="L42" s="70"/>
      <c r="M42" s="49"/>
    </row>
    <row r="43" spans="1:14" ht="54" x14ac:dyDescent="0.35">
      <c r="A43" s="32" t="s">
        <v>59</v>
      </c>
      <c r="B43" s="32" t="s">
        <v>60</v>
      </c>
      <c r="C43" s="48" t="s">
        <v>61</v>
      </c>
      <c r="D43" s="46" t="s">
        <v>62</v>
      </c>
      <c r="E43" s="51" t="s">
        <v>63</v>
      </c>
      <c r="F43" s="28"/>
      <c r="G43" s="30"/>
      <c r="H43" s="31"/>
      <c r="I43" s="49">
        <v>84500</v>
      </c>
      <c r="J43" s="70">
        <v>84500</v>
      </c>
      <c r="K43" s="70"/>
      <c r="L43" s="70"/>
      <c r="M43" s="49"/>
    </row>
    <row r="44" spans="1:14" ht="184.95" customHeight="1" x14ac:dyDescent="0.35">
      <c r="A44" s="32" t="s">
        <v>275</v>
      </c>
      <c r="B44" s="32" t="s">
        <v>276</v>
      </c>
      <c r="C44" s="32" t="s">
        <v>277</v>
      </c>
      <c r="D44" s="100" t="s">
        <v>278</v>
      </c>
      <c r="E44" s="101"/>
      <c r="F44" s="28"/>
      <c r="G44" s="30"/>
      <c r="H44" s="31"/>
      <c r="I44" s="84">
        <v>3280161</v>
      </c>
      <c r="J44" s="70">
        <v>3280161</v>
      </c>
      <c r="K44" s="70"/>
      <c r="L44" s="70"/>
      <c r="M44" s="49"/>
    </row>
    <row r="45" spans="1:14" ht="184.95" customHeight="1" x14ac:dyDescent="0.35">
      <c r="A45" s="32" t="s">
        <v>286</v>
      </c>
      <c r="B45" s="32" t="s">
        <v>287</v>
      </c>
      <c r="C45" s="32" t="s">
        <v>277</v>
      </c>
      <c r="D45" s="100" t="s">
        <v>288</v>
      </c>
      <c r="E45" s="101"/>
      <c r="F45" s="28"/>
      <c r="G45" s="30"/>
      <c r="H45" s="31"/>
      <c r="I45" s="84">
        <v>2353300</v>
      </c>
      <c r="J45" s="70">
        <v>2353300</v>
      </c>
      <c r="K45" s="70"/>
      <c r="L45" s="70"/>
      <c r="M45" s="49"/>
    </row>
    <row r="46" spans="1:14" ht="138" customHeight="1" x14ac:dyDescent="0.35">
      <c r="A46" s="32" t="s">
        <v>279</v>
      </c>
      <c r="B46" s="32" t="s">
        <v>280</v>
      </c>
      <c r="C46" s="32" t="s">
        <v>277</v>
      </c>
      <c r="D46" s="102" t="s">
        <v>281</v>
      </c>
      <c r="E46" s="103"/>
      <c r="F46" s="28"/>
      <c r="G46" s="83"/>
      <c r="H46" s="31"/>
      <c r="I46" s="84">
        <v>2240532</v>
      </c>
      <c r="J46" s="70">
        <v>2240532</v>
      </c>
      <c r="K46" s="70"/>
      <c r="L46" s="70"/>
      <c r="M46" s="49"/>
    </row>
    <row r="47" spans="1:14" ht="148.19999999999999" customHeight="1" x14ac:dyDescent="0.35">
      <c r="A47" s="32" t="s">
        <v>64</v>
      </c>
      <c r="B47" s="32">
        <v>6083</v>
      </c>
      <c r="C47" s="48" t="s">
        <v>65</v>
      </c>
      <c r="D47" s="46" t="s">
        <v>66</v>
      </c>
      <c r="E47" s="51" t="s">
        <v>193</v>
      </c>
      <c r="F47" s="28"/>
      <c r="G47" s="30"/>
      <c r="H47" s="31"/>
      <c r="I47" s="49">
        <v>1000000</v>
      </c>
      <c r="J47" s="70">
        <v>1000000</v>
      </c>
      <c r="K47" s="70"/>
      <c r="L47" s="70"/>
      <c r="M47" s="49"/>
    </row>
    <row r="48" spans="1:14" ht="18.75" customHeight="1" x14ac:dyDescent="0.35">
      <c r="A48" s="29" t="s">
        <v>308</v>
      </c>
      <c r="B48" s="27" t="s">
        <v>36</v>
      </c>
      <c r="C48" s="27" t="s">
        <v>36</v>
      </c>
      <c r="D48" s="96" t="s">
        <v>309</v>
      </c>
      <c r="E48" s="97"/>
      <c r="F48" s="28"/>
      <c r="G48" s="30"/>
      <c r="H48" s="31"/>
      <c r="I48" s="36">
        <f>I49</f>
        <v>35000</v>
      </c>
      <c r="J48" s="69">
        <f>J49</f>
        <v>35000</v>
      </c>
      <c r="K48" s="69"/>
      <c r="L48" s="69"/>
      <c r="M48" s="49"/>
      <c r="N48" s="1"/>
    </row>
    <row r="49" spans="1:15" ht="18.75" customHeight="1" x14ac:dyDescent="0.35">
      <c r="A49" s="29" t="s">
        <v>310</v>
      </c>
      <c r="B49" s="27" t="s">
        <v>36</v>
      </c>
      <c r="C49" s="27" t="s">
        <v>36</v>
      </c>
      <c r="D49" s="96" t="s">
        <v>309</v>
      </c>
      <c r="E49" s="97"/>
      <c r="F49" s="28"/>
      <c r="G49" s="30"/>
      <c r="H49" s="31"/>
      <c r="I49" s="36">
        <f>I50</f>
        <v>35000</v>
      </c>
      <c r="J49" s="69">
        <f>J50</f>
        <v>35000</v>
      </c>
      <c r="K49" s="69"/>
      <c r="L49" s="69"/>
      <c r="M49" s="49"/>
      <c r="N49" s="1"/>
    </row>
    <row r="50" spans="1:15" ht="72" x14ac:dyDescent="0.35">
      <c r="A50" s="32" t="s">
        <v>311</v>
      </c>
      <c r="B50" s="32" t="s">
        <v>53</v>
      </c>
      <c r="C50" s="48" t="s">
        <v>27</v>
      </c>
      <c r="D50" s="46" t="s">
        <v>54</v>
      </c>
      <c r="E50" s="51" t="s">
        <v>63</v>
      </c>
      <c r="F50" s="28"/>
      <c r="G50" s="30"/>
      <c r="H50" s="31"/>
      <c r="I50" s="49">
        <v>35000</v>
      </c>
      <c r="J50" s="70">
        <v>35000</v>
      </c>
      <c r="K50" s="70"/>
      <c r="L50" s="70"/>
      <c r="M50" s="49"/>
    </row>
    <row r="51" spans="1:15" ht="18.75" customHeight="1" x14ac:dyDescent="0.35">
      <c r="A51" s="29" t="s">
        <v>67</v>
      </c>
      <c r="B51" s="27" t="s">
        <v>36</v>
      </c>
      <c r="C51" s="27" t="s">
        <v>36</v>
      </c>
      <c r="D51" s="96" t="s">
        <v>68</v>
      </c>
      <c r="E51" s="97"/>
      <c r="F51" s="28"/>
      <c r="G51" s="30"/>
      <c r="H51" s="31"/>
      <c r="I51" s="36">
        <f>I52</f>
        <v>94000</v>
      </c>
      <c r="J51" s="69">
        <f t="shared" ref="J51:L51" si="7">J52</f>
        <v>94000</v>
      </c>
      <c r="K51" s="69">
        <f t="shared" si="7"/>
        <v>0</v>
      </c>
      <c r="L51" s="69">
        <f t="shared" si="7"/>
        <v>0</v>
      </c>
      <c r="M51" s="49"/>
      <c r="N51" s="1"/>
    </row>
    <row r="52" spans="1:15" ht="18.75" customHeight="1" x14ac:dyDescent="0.35">
      <c r="A52" s="29" t="s">
        <v>69</v>
      </c>
      <c r="B52" s="27" t="s">
        <v>36</v>
      </c>
      <c r="C52" s="27" t="s">
        <v>36</v>
      </c>
      <c r="D52" s="96" t="s">
        <v>68</v>
      </c>
      <c r="E52" s="97"/>
      <c r="F52" s="28"/>
      <c r="G52" s="30"/>
      <c r="H52" s="31"/>
      <c r="I52" s="36">
        <f>I53+I54</f>
        <v>94000</v>
      </c>
      <c r="J52" s="69">
        <f t="shared" ref="J52:L52" si="8">J53+J54</f>
        <v>94000</v>
      </c>
      <c r="K52" s="69">
        <f t="shared" si="8"/>
        <v>0</v>
      </c>
      <c r="L52" s="69">
        <f t="shared" si="8"/>
        <v>0</v>
      </c>
      <c r="M52" s="49"/>
      <c r="N52" s="1"/>
    </row>
    <row r="53" spans="1:15" x14ac:dyDescent="0.35">
      <c r="A53" s="32" t="s">
        <v>70</v>
      </c>
      <c r="B53" s="32" t="s">
        <v>71</v>
      </c>
      <c r="C53" s="48" t="s">
        <v>72</v>
      </c>
      <c r="D53" s="46" t="s">
        <v>73</v>
      </c>
      <c r="E53" s="51" t="s">
        <v>63</v>
      </c>
      <c r="F53" s="28"/>
      <c r="G53" s="30"/>
      <c r="H53" s="31"/>
      <c r="I53" s="49">
        <v>74000</v>
      </c>
      <c r="J53" s="70">
        <v>74000</v>
      </c>
      <c r="K53" s="70"/>
      <c r="L53" s="70"/>
      <c r="M53" s="49"/>
    </row>
    <row r="54" spans="1:15" ht="72" x14ac:dyDescent="0.35">
      <c r="A54" s="32" t="s">
        <v>74</v>
      </c>
      <c r="B54" s="32" t="s">
        <v>75</v>
      </c>
      <c r="C54" s="48" t="s">
        <v>76</v>
      </c>
      <c r="D54" s="46" t="s">
        <v>77</v>
      </c>
      <c r="E54" s="51" t="s">
        <v>63</v>
      </c>
      <c r="F54" s="28"/>
      <c r="G54" s="30"/>
      <c r="H54" s="31"/>
      <c r="I54" s="49">
        <v>20000</v>
      </c>
      <c r="J54" s="70">
        <v>20000</v>
      </c>
      <c r="K54" s="70"/>
      <c r="L54" s="70"/>
      <c r="M54" s="49"/>
    </row>
    <row r="55" spans="1:15" ht="18.75" customHeight="1" x14ac:dyDescent="0.35">
      <c r="A55" s="29" t="s">
        <v>78</v>
      </c>
      <c r="B55" s="27" t="s">
        <v>36</v>
      </c>
      <c r="C55" s="27" t="s">
        <v>36</v>
      </c>
      <c r="D55" s="96" t="s">
        <v>79</v>
      </c>
      <c r="E55" s="97"/>
      <c r="F55" s="28"/>
      <c r="G55" s="30"/>
      <c r="H55" s="31"/>
      <c r="I55" s="36">
        <f>I56</f>
        <v>171000</v>
      </c>
      <c r="J55" s="69">
        <f t="shared" ref="J55:L56" si="9">J56</f>
        <v>171000</v>
      </c>
      <c r="K55" s="69">
        <f t="shared" si="9"/>
        <v>0</v>
      </c>
      <c r="L55" s="69">
        <f t="shared" si="9"/>
        <v>0</v>
      </c>
      <c r="M55" s="49"/>
      <c r="N55" s="1"/>
    </row>
    <row r="56" spans="1:15" ht="18.75" customHeight="1" x14ac:dyDescent="0.35">
      <c r="A56" s="29" t="s">
        <v>80</v>
      </c>
      <c r="B56" s="27" t="s">
        <v>36</v>
      </c>
      <c r="C56" s="27" t="s">
        <v>36</v>
      </c>
      <c r="D56" s="96" t="s">
        <v>79</v>
      </c>
      <c r="E56" s="97"/>
      <c r="F56" s="28"/>
      <c r="G56" s="30"/>
      <c r="H56" s="31"/>
      <c r="I56" s="36">
        <f>I57</f>
        <v>171000</v>
      </c>
      <c r="J56" s="69">
        <f t="shared" si="9"/>
        <v>171000</v>
      </c>
      <c r="K56" s="69">
        <f t="shared" si="9"/>
        <v>0</v>
      </c>
      <c r="L56" s="69">
        <f t="shared" si="9"/>
        <v>0</v>
      </c>
      <c r="M56" s="49"/>
      <c r="N56" s="1"/>
    </row>
    <row r="57" spans="1:15" ht="72" x14ac:dyDescent="0.35">
      <c r="A57" s="32" t="s">
        <v>81</v>
      </c>
      <c r="B57" s="32" t="s">
        <v>53</v>
      </c>
      <c r="C57" s="48" t="s">
        <v>27</v>
      </c>
      <c r="D57" s="46" t="s">
        <v>54</v>
      </c>
      <c r="E57" s="51" t="s">
        <v>63</v>
      </c>
      <c r="F57" s="28"/>
      <c r="G57" s="30"/>
      <c r="H57" s="31"/>
      <c r="I57" s="49">
        <f>50000+121000</f>
        <v>171000</v>
      </c>
      <c r="J57" s="70">
        <f>50000+121000</f>
        <v>171000</v>
      </c>
      <c r="K57" s="70"/>
      <c r="L57" s="70"/>
      <c r="M57" s="49"/>
    </row>
    <row r="58" spans="1:15" ht="40.200000000000003" customHeight="1" x14ac:dyDescent="0.35">
      <c r="A58" s="29" t="s">
        <v>82</v>
      </c>
      <c r="B58" s="27" t="s">
        <v>36</v>
      </c>
      <c r="C58" s="27" t="s">
        <v>36</v>
      </c>
      <c r="D58" s="96" t="s">
        <v>83</v>
      </c>
      <c r="E58" s="97"/>
      <c r="F58" s="28"/>
      <c r="G58" s="30"/>
      <c r="H58" s="31"/>
      <c r="I58" s="36">
        <f>I59</f>
        <v>19441342.880000003</v>
      </c>
      <c r="J58" s="69">
        <f>J59</f>
        <v>18876520.68</v>
      </c>
      <c r="K58" s="69">
        <f t="shared" ref="K58:L58" si="10">K59</f>
        <v>564822.19999999995</v>
      </c>
      <c r="L58" s="69">
        <f t="shared" si="10"/>
        <v>0</v>
      </c>
      <c r="M58" s="49"/>
      <c r="N58" s="1"/>
    </row>
    <row r="59" spans="1:15" ht="40.200000000000003" customHeight="1" x14ac:dyDescent="0.35">
      <c r="A59" s="29" t="s">
        <v>84</v>
      </c>
      <c r="B59" s="27" t="s">
        <v>36</v>
      </c>
      <c r="C59" s="27" t="s">
        <v>36</v>
      </c>
      <c r="D59" s="96" t="s">
        <v>83</v>
      </c>
      <c r="E59" s="97"/>
      <c r="F59" s="28"/>
      <c r="G59" s="30"/>
      <c r="H59" s="31"/>
      <c r="I59" s="36">
        <f>I60+I61+I86+I92+I106+I109</f>
        <v>19441342.880000003</v>
      </c>
      <c r="J59" s="36">
        <f>J60+J61+J86+J92+J106+J109</f>
        <v>18876520.68</v>
      </c>
      <c r="K59" s="36">
        <f>K60+K61+K86+K92+K106+K109</f>
        <v>564822.19999999995</v>
      </c>
      <c r="L59" s="36">
        <f>L60+L61+L86+L92+L106+L109</f>
        <v>0</v>
      </c>
      <c r="M59" s="49"/>
      <c r="N59" s="1"/>
      <c r="O59" s="1"/>
    </row>
    <row r="60" spans="1:15" ht="72" x14ac:dyDescent="0.35">
      <c r="A60" s="32" t="s">
        <v>85</v>
      </c>
      <c r="B60" s="32" t="s">
        <v>53</v>
      </c>
      <c r="C60" s="48" t="s">
        <v>27</v>
      </c>
      <c r="D60" s="46" t="s">
        <v>54</v>
      </c>
      <c r="E60" s="51" t="s">
        <v>63</v>
      </c>
      <c r="F60" s="28"/>
      <c r="G60" s="30"/>
      <c r="H60" s="31"/>
      <c r="I60" s="49">
        <v>199800</v>
      </c>
      <c r="J60" s="70">
        <f>199800-108000</f>
        <v>91800</v>
      </c>
      <c r="K60" s="70">
        <v>108000</v>
      </c>
      <c r="L60" s="70"/>
      <c r="M60" s="49"/>
    </row>
    <row r="61" spans="1:15" ht="36" x14ac:dyDescent="0.35">
      <c r="A61" s="32">
        <v>1216011</v>
      </c>
      <c r="B61" s="32">
        <v>6011</v>
      </c>
      <c r="C61" s="48" t="s">
        <v>65</v>
      </c>
      <c r="D61" s="46" t="s">
        <v>86</v>
      </c>
      <c r="E61" s="51" t="s">
        <v>29</v>
      </c>
      <c r="F61" s="28"/>
      <c r="G61" s="30"/>
      <c r="H61" s="31"/>
      <c r="I61" s="49">
        <f>SUM(I62:I76)</f>
        <v>11676258.07</v>
      </c>
      <c r="J61" s="70">
        <f>SUM(J62:J76)</f>
        <v>11676258.07</v>
      </c>
      <c r="K61" s="70"/>
      <c r="L61" s="70"/>
      <c r="M61" s="49"/>
    </row>
    <row r="62" spans="1:15" ht="162" x14ac:dyDescent="0.35">
      <c r="A62" s="32"/>
      <c r="B62" s="32"/>
      <c r="C62" s="48"/>
      <c r="D62" s="46"/>
      <c r="E62" s="51" t="s">
        <v>213</v>
      </c>
      <c r="F62" s="28"/>
      <c r="G62" s="30"/>
      <c r="H62" s="31"/>
      <c r="I62" s="49">
        <v>598000</v>
      </c>
      <c r="J62" s="70">
        <v>598000</v>
      </c>
      <c r="K62" s="70"/>
      <c r="L62" s="70"/>
      <c r="M62" s="49"/>
    </row>
    <row r="63" spans="1:15" ht="72" x14ac:dyDescent="0.35">
      <c r="A63" s="32"/>
      <c r="B63" s="32"/>
      <c r="C63" s="48"/>
      <c r="D63" s="46"/>
      <c r="E63" s="51" t="s">
        <v>313</v>
      </c>
      <c r="F63" s="28"/>
      <c r="G63" s="30"/>
      <c r="H63" s="31"/>
      <c r="I63" s="49">
        <v>300000</v>
      </c>
      <c r="J63" s="70">
        <v>300000</v>
      </c>
      <c r="K63" s="70"/>
      <c r="L63" s="70"/>
      <c r="M63" s="49"/>
    </row>
    <row r="64" spans="1:15" ht="72" x14ac:dyDescent="0.35">
      <c r="A64" s="32"/>
      <c r="B64" s="32"/>
      <c r="C64" s="48"/>
      <c r="D64" s="46"/>
      <c r="E64" s="51" t="s">
        <v>314</v>
      </c>
      <c r="F64" s="28"/>
      <c r="G64" s="30"/>
      <c r="H64" s="31"/>
      <c r="I64" s="49">
        <v>300000</v>
      </c>
      <c r="J64" s="70">
        <v>300000</v>
      </c>
      <c r="K64" s="70"/>
      <c r="L64" s="70"/>
      <c r="M64" s="49"/>
    </row>
    <row r="65" spans="1:13" ht="54" x14ac:dyDescent="0.35">
      <c r="A65" s="32"/>
      <c r="B65" s="32"/>
      <c r="C65" s="48"/>
      <c r="D65" s="46"/>
      <c r="E65" s="51" t="s">
        <v>312</v>
      </c>
      <c r="F65" s="28"/>
      <c r="G65" s="30"/>
      <c r="H65" s="31"/>
      <c r="I65" s="49">
        <v>200000</v>
      </c>
      <c r="J65" s="70">
        <v>200000</v>
      </c>
      <c r="K65" s="70"/>
      <c r="L65" s="70"/>
      <c r="M65" s="49"/>
    </row>
    <row r="66" spans="1:13" ht="54" x14ac:dyDescent="0.35">
      <c r="A66" s="32"/>
      <c r="B66" s="32"/>
      <c r="C66" s="48"/>
      <c r="D66" s="46"/>
      <c r="E66" s="51" t="s">
        <v>318</v>
      </c>
      <c r="F66" s="28"/>
      <c r="G66" s="30"/>
      <c r="H66" s="31"/>
      <c r="I66" s="49">
        <v>125000</v>
      </c>
      <c r="J66" s="70">
        <v>125000</v>
      </c>
      <c r="K66" s="70"/>
      <c r="L66" s="70"/>
      <c r="M66" s="49"/>
    </row>
    <row r="67" spans="1:13" ht="54" x14ac:dyDescent="0.35">
      <c r="A67" s="32"/>
      <c r="B67" s="32"/>
      <c r="C67" s="48"/>
      <c r="D67" s="46"/>
      <c r="E67" s="51" t="s">
        <v>95</v>
      </c>
      <c r="F67" s="28"/>
      <c r="G67" s="30"/>
      <c r="H67" s="31"/>
      <c r="I67" s="49">
        <v>550000</v>
      </c>
      <c r="J67" s="70">
        <v>550000</v>
      </c>
      <c r="K67" s="70"/>
      <c r="L67" s="70"/>
      <c r="M67" s="49"/>
    </row>
    <row r="68" spans="1:13" ht="36" x14ac:dyDescent="0.35">
      <c r="A68" s="32"/>
      <c r="B68" s="32"/>
      <c r="C68" s="48"/>
      <c r="D68" s="46"/>
      <c r="E68" s="46" t="s">
        <v>315</v>
      </c>
      <c r="F68" s="28"/>
      <c r="G68" s="30"/>
      <c r="H68" s="31"/>
      <c r="I68" s="49">
        <v>48000</v>
      </c>
      <c r="J68" s="70">
        <v>48000</v>
      </c>
      <c r="K68" s="70"/>
      <c r="L68" s="70"/>
      <c r="M68" s="49"/>
    </row>
    <row r="69" spans="1:13" ht="36" x14ac:dyDescent="0.35">
      <c r="A69" s="32"/>
      <c r="B69" s="32"/>
      <c r="C69" s="48"/>
      <c r="D69" s="46"/>
      <c r="E69" s="46" t="s">
        <v>316</v>
      </c>
      <c r="F69" s="28"/>
      <c r="G69" s="30"/>
      <c r="H69" s="31"/>
      <c r="I69" s="49">
        <v>1452000</v>
      </c>
      <c r="J69" s="70">
        <v>1452000</v>
      </c>
      <c r="K69" s="70"/>
      <c r="L69" s="70"/>
      <c r="M69" s="49"/>
    </row>
    <row r="70" spans="1:13" ht="36" x14ac:dyDescent="0.35">
      <c r="A70" s="32"/>
      <c r="B70" s="32"/>
      <c r="C70" s="48"/>
      <c r="D70" s="46"/>
      <c r="E70" s="51" t="s">
        <v>94</v>
      </c>
      <c r="F70" s="28"/>
      <c r="G70" s="30"/>
      <c r="H70" s="31"/>
      <c r="I70" s="49">
        <v>100000</v>
      </c>
      <c r="J70" s="70">
        <v>100000</v>
      </c>
      <c r="K70" s="70"/>
      <c r="L70" s="70"/>
      <c r="M70" s="49"/>
    </row>
    <row r="71" spans="1:13" ht="36" x14ac:dyDescent="0.35">
      <c r="A71" s="32"/>
      <c r="B71" s="32"/>
      <c r="C71" s="48"/>
      <c r="D71" s="46"/>
      <c r="E71" s="46" t="s">
        <v>317</v>
      </c>
      <c r="F71" s="28"/>
      <c r="G71" s="30"/>
      <c r="H71" s="31"/>
      <c r="I71" s="49">
        <v>800000</v>
      </c>
      <c r="J71" s="70">
        <v>800000</v>
      </c>
      <c r="K71" s="70"/>
      <c r="L71" s="70"/>
      <c r="M71" s="49"/>
    </row>
    <row r="72" spans="1:13" ht="36" x14ac:dyDescent="0.35">
      <c r="A72" s="32"/>
      <c r="B72" s="32"/>
      <c r="C72" s="48"/>
      <c r="D72" s="46"/>
      <c r="E72" s="51" t="s">
        <v>96</v>
      </c>
      <c r="F72" s="28"/>
      <c r="G72" s="30"/>
      <c r="H72" s="31"/>
      <c r="I72" s="49">
        <v>140707</v>
      </c>
      <c r="J72" s="70">
        <v>140707</v>
      </c>
      <c r="K72" s="70"/>
      <c r="L72" s="70"/>
      <c r="M72" s="49"/>
    </row>
    <row r="73" spans="1:13" x14ac:dyDescent="0.35">
      <c r="A73" s="32"/>
      <c r="B73" s="32"/>
      <c r="C73" s="48"/>
      <c r="D73" s="46"/>
      <c r="E73" s="51" t="s">
        <v>97</v>
      </c>
      <c r="F73" s="28"/>
      <c r="G73" s="30"/>
      <c r="H73" s="31"/>
      <c r="I73" s="49">
        <f>230600+400000</f>
        <v>630600</v>
      </c>
      <c r="J73" s="70">
        <f>230600+400000</f>
        <v>630600</v>
      </c>
      <c r="K73" s="70"/>
      <c r="L73" s="70"/>
      <c r="M73" s="49"/>
    </row>
    <row r="74" spans="1:13" x14ac:dyDescent="0.35">
      <c r="A74" s="32"/>
      <c r="B74" s="32"/>
      <c r="C74" s="48"/>
      <c r="D74" s="46"/>
      <c r="E74" s="51" t="s">
        <v>326</v>
      </c>
      <c r="F74" s="28"/>
      <c r="G74" s="30"/>
      <c r="H74" s="31"/>
      <c r="I74" s="49">
        <v>3000000</v>
      </c>
      <c r="J74" s="70">
        <v>3000000</v>
      </c>
      <c r="K74" s="70"/>
      <c r="L74" s="70"/>
      <c r="M74" s="49"/>
    </row>
    <row r="75" spans="1:13" x14ac:dyDescent="0.35">
      <c r="A75" s="32"/>
      <c r="B75" s="32"/>
      <c r="C75" s="48"/>
      <c r="D75" s="46"/>
      <c r="E75" s="51" t="s">
        <v>97</v>
      </c>
      <c r="F75" s="28"/>
      <c r="G75" s="30"/>
      <c r="H75" s="31"/>
      <c r="I75" s="49">
        <v>600000</v>
      </c>
      <c r="J75" s="70">
        <v>600000</v>
      </c>
      <c r="K75" s="70"/>
      <c r="L75" s="70"/>
      <c r="M75" s="49"/>
    </row>
    <row r="76" spans="1:13" ht="72" x14ac:dyDescent="0.35">
      <c r="A76" s="32"/>
      <c r="B76" s="32"/>
      <c r="C76" s="48"/>
      <c r="D76" s="46"/>
      <c r="E76" s="51" t="s">
        <v>87</v>
      </c>
      <c r="F76" s="28"/>
      <c r="G76" s="30"/>
      <c r="H76" s="31"/>
      <c r="I76" s="49">
        <f>SUM(I77:I85)</f>
        <v>2831951.0700000003</v>
      </c>
      <c r="J76" s="70">
        <f>SUM(J77:J85)</f>
        <v>2831951.0700000003</v>
      </c>
      <c r="K76" s="70"/>
      <c r="L76" s="70"/>
      <c r="M76" s="49"/>
    </row>
    <row r="77" spans="1:13" s="40" customFormat="1" ht="54" x14ac:dyDescent="0.35">
      <c r="A77" s="43"/>
      <c r="B77" s="43"/>
      <c r="C77" s="56"/>
      <c r="D77" s="53"/>
      <c r="E77" s="52" t="s">
        <v>88</v>
      </c>
      <c r="F77" s="38"/>
      <c r="G77" s="45"/>
      <c r="H77" s="39"/>
      <c r="I77" s="50">
        <f>152934.75+19116.85</f>
        <v>172051.6</v>
      </c>
      <c r="J77" s="71">
        <f>152934.75+19116.85</f>
        <v>172051.6</v>
      </c>
      <c r="K77" s="71"/>
      <c r="L77" s="71"/>
      <c r="M77" s="50"/>
    </row>
    <row r="78" spans="1:13" s="40" customFormat="1" ht="54" x14ac:dyDescent="0.35">
      <c r="A78" s="43"/>
      <c r="B78" s="43"/>
      <c r="C78" s="56"/>
      <c r="D78" s="53"/>
      <c r="E78" s="52" t="s">
        <v>206</v>
      </c>
      <c r="F78" s="38"/>
      <c r="G78" s="45"/>
      <c r="H78" s="39"/>
      <c r="I78" s="50">
        <f>373727.2+46715.9</f>
        <v>420443.10000000003</v>
      </c>
      <c r="J78" s="71">
        <f>373727.2+46715.9</f>
        <v>420443.10000000003</v>
      </c>
      <c r="K78" s="71"/>
      <c r="L78" s="71"/>
      <c r="M78" s="50"/>
    </row>
    <row r="79" spans="1:13" s="40" customFormat="1" ht="72" x14ac:dyDescent="0.35">
      <c r="A79" s="43"/>
      <c r="B79" s="43"/>
      <c r="C79" s="56"/>
      <c r="D79" s="53"/>
      <c r="E79" s="52" t="s">
        <v>89</v>
      </c>
      <c r="F79" s="38"/>
      <c r="G79" s="45"/>
      <c r="H79" s="39"/>
      <c r="I79" s="50">
        <f>40000+5000</f>
        <v>45000</v>
      </c>
      <c r="J79" s="71">
        <f>40000+5000</f>
        <v>45000</v>
      </c>
      <c r="K79" s="71"/>
      <c r="L79" s="71"/>
      <c r="M79" s="50"/>
    </row>
    <row r="80" spans="1:13" s="40" customFormat="1" ht="54" x14ac:dyDescent="0.35">
      <c r="A80" s="43"/>
      <c r="B80" s="43"/>
      <c r="C80" s="56"/>
      <c r="D80" s="53"/>
      <c r="E80" s="52" t="s">
        <v>90</v>
      </c>
      <c r="F80" s="38"/>
      <c r="G80" s="45"/>
      <c r="H80" s="39"/>
      <c r="I80" s="50">
        <f>400000+50000</f>
        <v>450000</v>
      </c>
      <c r="J80" s="71">
        <f>400000+50000</f>
        <v>450000</v>
      </c>
      <c r="K80" s="71"/>
      <c r="L80" s="71"/>
      <c r="M80" s="50"/>
    </row>
    <row r="81" spans="1:13" s="40" customFormat="1" ht="54" x14ac:dyDescent="0.35">
      <c r="A81" s="43"/>
      <c r="B81" s="43"/>
      <c r="C81" s="56"/>
      <c r="D81" s="53"/>
      <c r="E81" s="52" t="s">
        <v>282</v>
      </c>
      <c r="F81" s="38"/>
      <c r="G81" s="45"/>
      <c r="H81" s="39"/>
      <c r="I81" s="50">
        <v>378000</v>
      </c>
      <c r="J81" s="71">
        <v>378000</v>
      </c>
      <c r="K81" s="71"/>
      <c r="L81" s="71"/>
      <c r="M81" s="50"/>
    </row>
    <row r="82" spans="1:13" s="40" customFormat="1" ht="72" x14ac:dyDescent="0.35">
      <c r="A82" s="43"/>
      <c r="B82" s="43"/>
      <c r="C82" s="56"/>
      <c r="D82" s="53"/>
      <c r="E82" s="52" t="s">
        <v>91</v>
      </c>
      <c r="F82" s="38"/>
      <c r="G82" s="45"/>
      <c r="H82" s="39"/>
      <c r="I82" s="50">
        <f>27337.22+3417.16</f>
        <v>30754.38</v>
      </c>
      <c r="J82" s="71">
        <f>27337.22+3417.16</f>
        <v>30754.38</v>
      </c>
      <c r="K82" s="71"/>
      <c r="L82" s="71"/>
      <c r="M82" s="50"/>
    </row>
    <row r="83" spans="1:13" s="40" customFormat="1" ht="54" x14ac:dyDescent="0.35">
      <c r="A83" s="43"/>
      <c r="B83" s="43"/>
      <c r="C83" s="56"/>
      <c r="D83" s="53"/>
      <c r="E83" s="52" t="s">
        <v>92</v>
      </c>
      <c r="F83" s="38"/>
      <c r="G83" s="45"/>
      <c r="H83" s="39"/>
      <c r="I83" s="50">
        <f>379444.8+47430.6</f>
        <v>426875.39999999997</v>
      </c>
      <c r="J83" s="71">
        <f>379444.8+47430.6</f>
        <v>426875.39999999997</v>
      </c>
      <c r="K83" s="71"/>
      <c r="L83" s="71"/>
      <c r="M83" s="50"/>
    </row>
    <row r="84" spans="1:13" s="40" customFormat="1" ht="54" x14ac:dyDescent="0.35">
      <c r="A84" s="43"/>
      <c r="B84" s="43"/>
      <c r="C84" s="56"/>
      <c r="D84" s="53"/>
      <c r="E84" s="52" t="s">
        <v>93</v>
      </c>
      <c r="F84" s="38"/>
      <c r="G84" s="45"/>
      <c r="H84" s="39"/>
      <c r="I84" s="50">
        <f>375515.2+46939.4</f>
        <v>422454.60000000003</v>
      </c>
      <c r="J84" s="71">
        <f>375515.2+46939.4</f>
        <v>422454.60000000003</v>
      </c>
      <c r="K84" s="71"/>
      <c r="L84" s="71"/>
      <c r="M84" s="50"/>
    </row>
    <row r="85" spans="1:13" s="40" customFormat="1" x14ac:dyDescent="0.35">
      <c r="A85" s="43"/>
      <c r="B85" s="43"/>
      <c r="C85" s="56"/>
      <c r="D85" s="53"/>
      <c r="E85" s="52" t="s">
        <v>63</v>
      </c>
      <c r="F85" s="38"/>
      <c r="G85" s="45"/>
      <c r="H85" s="39"/>
      <c r="I85" s="50">
        <f>2242551.44-1756179.45</f>
        <v>486371.99</v>
      </c>
      <c r="J85" s="71">
        <f>2242551.44-1756179.45</f>
        <v>486371.99</v>
      </c>
      <c r="K85" s="71"/>
      <c r="L85" s="71"/>
      <c r="M85" s="50"/>
    </row>
    <row r="86" spans="1:13" ht="36" x14ac:dyDescent="0.35">
      <c r="A86" s="32" t="s">
        <v>98</v>
      </c>
      <c r="B86" s="32" t="s">
        <v>99</v>
      </c>
      <c r="C86" s="48" t="s">
        <v>100</v>
      </c>
      <c r="D86" s="46" t="s">
        <v>101</v>
      </c>
      <c r="E86" s="51" t="s">
        <v>29</v>
      </c>
      <c r="F86" s="28"/>
      <c r="G86" s="30"/>
      <c r="H86" s="31"/>
      <c r="I86" s="49">
        <f>I87</f>
        <v>1391959.38</v>
      </c>
      <c r="J86" s="70">
        <f>J87</f>
        <v>1391959.38</v>
      </c>
      <c r="K86" s="70"/>
      <c r="L86" s="70"/>
      <c r="M86" s="49"/>
    </row>
    <row r="87" spans="1:13" ht="72" x14ac:dyDescent="0.35">
      <c r="A87" s="32"/>
      <c r="B87" s="32"/>
      <c r="C87" s="48"/>
      <c r="D87" s="46"/>
      <c r="E87" s="51" t="s">
        <v>87</v>
      </c>
      <c r="F87" s="28"/>
      <c r="G87" s="30"/>
      <c r="H87" s="31"/>
      <c r="I87" s="49">
        <f>I88+I89+I90+I91</f>
        <v>1391959.38</v>
      </c>
      <c r="J87" s="70">
        <f>J88+J89+J90+J91</f>
        <v>1391959.38</v>
      </c>
      <c r="K87" s="70"/>
      <c r="L87" s="70"/>
      <c r="M87" s="49"/>
    </row>
    <row r="88" spans="1:13" s="40" customFormat="1" ht="54" x14ac:dyDescent="0.35">
      <c r="A88" s="43"/>
      <c r="B88" s="43"/>
      <c r="C88" s="43"/>
      <c r="D88" s="44"/>
      <c r="E88" s="53" t="s">
        <v>246</v>
      </c>
      <c r="F88" s="38"/>
      <c r="G88" s="45"/>
      <c r="H88" s="39"/>
      <c r="I88" s="54">
        <f>382905.94+44644.06</f>
        <v>427550</v>
      </c>
      <c r="J88" s="73">
        <f>382905.94+44644.06</f>
        <v>427550</v>
      </c>
      <c r="K88" s="71"/>
      <c r="L88" s="71"/>
      <c r="M88" s="50"/>
    </row>
    <row r="89" spans="1:13" s="40" customFormat="1" ht="72" x14ac:dyDescent="0.35">
      <c r="A89" s="43"/>
      <c r="B89" s="43"/>
      <c r="C89" s="43"/>
      <c r="D89" s="44"/>
      <c r="E89" s="53" t="s">
        <v>283</v>
      </c>
      <c r="F89" s="38"/>
      <c r="G89" s="45"/>
      <c r="H89" s="39"/>
      <c r="I89" s="54">
        <v>495000</v>
      </c>
      <c r="J89" s="73">
        <v>495000</v>
      </c>
      <c r="K89" s="71"/>
      <c r="L89" s="71"/>
      <c r="M89" s="50"/>
    </row>
    <row r="90" spans="1:13" s="40" customFormat="1" ht="36" x14ac:dyDescent="0.35">
      <c r="A90" s="43"/>
      <c r="B90" s="43"/>
      <c r="C90" s="43"/>
      <c r="D90" s="44"/>
      <c r="E90" s="53" t="s">
        <v>284</v>
      </c>
      <c r="F90" s="38"/>
      <c r="G90" s="45"/>
      <c r="H90" s="39"/>
      <c r="I90" s="54">
        <v>45000</v>
      </c>
      <c r="J90" s="73">
        <v>45000</v>
      </c>
      <c r="K90" s="71"/>
      <c r="L90" s="71"/>
      <c r="M90" s="50"/>
    </row>
    <row r="91" spans="1:13" s="40" customFormat="1" ht="54" x14ac:dyDescent="0.35">
      <c r="A91" s="43"/>
      <c r="B91" s="43"/>
      <c r="C91" s="43"/>
      <c r="D91" s="44"/>
      <c r="E91" s="53" t="s">
        <v>105</v>
      </c>
      <c r="F91" s="38"/>
      <c r="G91" s="45"/>
      <c r="H91" s="39"/>
      <c r="I91" s="54">
        <f>377779.54+46629.84</f>
        <v>424409.38</v>
      </c>
      <c r="J91" s="73">
        <f>377779.54+46629.84</f>
        <v>424409.38</v>
      </c>
      <c r="K91" s="71"/>
      <c r="L91" s="71"/>
      <c r="M91" s="50"/>
    </row>
    <row r="92" spans="1:13" ht="36" x14ac:dyDescent="0.35">
      <c r="A92" s="32" t="s">
        <v>102</v>
      </c>
      <c r="B92" s="32" t="s">
        <v>103</v>
      </c>
      <c r="C92" s="48" t="s">
        <v>100</v>
      </c>
      <c r="D92" s="46" t="s">
        <v>104</v>
      </c>
      <c r="E92" s="51" t="s">
        <v>29</v>
      </c>
      <c r="F92" s="28"/>
      <c r="G92" s="30"/>
      <c r="H92" s="31"/>
      <c r="I92" s="49">
        <f>I93+I94+I95+I96+I97+I98+I99+I102+I103+I104+I105</f>
        <v>3190121.2800000003</v>
      </c>
      <c r="J92" s="70">
        <f>J93+J94+J95+J96+J97+J98+J99+J102+J103+J104+J105</f>
        <v>2733299.08</v>
      </c>
      <c r="K92" s="70">
        <f t="shared" ref="K92:L92" si="11">K93+K94+K95+K96+K97+K98+K99+K102+K103+K104+K105</f>
        <v>456822.2</v>
      </c>
      <c r="L92" s="70">
        <f t="shared" si="11"/>
        <v>0</v>
      </c>
      <c r="M92" s="49"/>
    </row>
    <row r="93" spans="1:13" s="40" customFormat="1" ht="54" x14ac:dyDescent="0.35">
      <c r="A93" s="43"/>
      <c r="B93" s="43"/>
      <c r="C93" s="43"/>
      <c r="D93" s="44"/>
      <c r="E93" s="47" t="s">
        <v>106</v>
      </c>
      <c r="F93" s="38"/>
      <c r="G93" s="45"/>
      <c r="H93" s="39"/>
      <c r="I93" s="55">
        <f>4200000-4100000</f>
        <v>100000</v>
      </c>
      <c r="J93" s="72">
        <f>4200000-4100000</f>
        <v>100000</v>
      </c>
      <c r="K93" s="71"/>
      <c r="L93" s="71"/>
      <c r="M93" s="50"/>
    </row>
    <row r="94" spans="1:13" s="40" customFormat="1" ht="54" x14ac:dyDescent="0.35">
      <c r="A94" s="43"/>
      <c r="B94" s="43"/>
      <c r="C94" s="43"/>
      <c r="D94" s="44"/>
      <c r="E94" s="57" t="s">
        <v>107</v>
      </c>
      <c r="F94" s="38"/>
      <c r="G94" s="45"/>
      <c r="H94" s="39"/>
      <c r="I94" s="55">
        <v>210000</v>
      </c>
      <c r="J94" s="72">
        <v>210000</v>
      </c>
      <c r="K94" s="71"/>
      <c r="L94" s="71"/>
      <c r="M94" s="50"/>
    </row>
    <row r="95" spans="1:13" s="40" customFormat="1" ht="72" x14ac:dyDescent="0.35">
      <c r="A95" s="43"/>
      <c r="B95" s="43"/>
      <c r="C95" s="43"/>
      <c r="D95" s="44"/>
      <c r="E95" s="47" t="s">
        <v>108</v>
      </c>
      <c r="F95" s="38"/>
      <c r="G95" s="45"/>
      <c r="H95" s="39"/>
      <c r="I95" s="55">
        <v>220000</v>
      </c>
      <c r="J95" s="72">
        <v>220000</v>
      </c>
      <c r="K95" s="71"/>
      <c r="L95" s="71"/>
      <c r="M95" s="50"/>
    </row>
    <row r="96" spans="1:13" s="40" customFormat="1" ht="54" x14ac:dyDescent="0.35">
      <c r="A96" s="43"/>
      <c r="B96" s="43"/>
      <c r="C96" s="43"/>
      <c r="D96" s="44"/>
      <c r="E96" s="47" t="s">
        <v>109</v>
      </c>
      <c r="F96" s="38"/>
      <c r="G96" s="45"/>
      <c r="H96" s="39"/>
      <c r="I96" s="55">
        <v>50000</v>
      </c>
      <c r="J96" s="72">
        <v>50000</v>
      </c>
      <c r="K96" s="71"/>
      <c r="L96" s="71"/>
      <c r="M96" s="50"/>
    </row>
    <row r="97" spans="1:14" s="40" customFormat="1" ht="54" x14ac:dyDescent="0.35">
      <c r="A97" s="43"/>
      <c r="B97" s="43"/>
      <c r="C97" s="43"/>
      <c r="D97" s="44"/>
      <c r="E97" s="51" t="s">
        <v>110</v>
      </c>
      <c r="F97" s="38"/>
      <c r="G97" s="45"/>
      <c r="H97" s="39"/>
      <c r="I97" s="49">
        <f>741099.08+49800+48600</f>
        <v>839499.08</v>
      </c>
      <c r="J97" s="70">
        <f>741099.08+49800+48600</f>
        <v>839499.08</v>
      </c>
      <c r="K97" s="71"/>
      <c r="L97" s="71"/>
      <c r="M97" s="50"/>
    </row>
    <row r="98" spans="1:14" s="40" customFormat="1" ht="72" x14ac:dyDescent="0.35">
      <c r="A98" s="43"/>
      <c r="B98" s="43"/>
      <c r="C98" s="43"/>
      <c r="D98" s="44"/>
      <c r="E98" s="51" t="s">
        <v>111</v>
      </c>
      <c r="F98" s="38"/>
      <c r="G98" s="45"/>
      <c r="H98" s="39"/>
      <c r="I98" s="49">
        <v>456822.2</v>
      </c>
      <c r="J98" s="70"/>
      <c r="K98" s="71">
        <v>456822.2</v>
      </c>
      <c r="L98" s="70"/>
      <c r="M98" s="50"/>
    </row>
    <row r="99" spans="1:14" s="40" customFormat="1" ht="72" x14ac:dyDescent="0.35">
      <c r="A99" s="43"/>
      <c r="B99" s="43"/>
      <c r="C99" s="43"/>
      <c r="D99" s="44"/>
      <c r="E99" s="51" t="s">
        <v>87</v>
      </c>
      <c r="F99" s="38"/>
      <c r="G99" s="45"/>
      <c r="H99" s="39"/>
      <c r="I99" s="49">
        <f>I100+I101</f>
        <v>452000</v>
      </c>
      <c r="J99" s="70">
        <f>J100+J101</f>
        <v>452000</v>
      </c>
      <c r="K99" s="71"/>
      <c r="L99" s="71"/>
      <c r="M99" s="50"/>
    </row>
    <row r="100" spans="1:14" s="40" customFormat="1" ht="54" x14ac:dyDescent="0.35">
      <c r="A100" s="43"/>
      <c r="B100" s="43"/>
      <c r="C100" s="43"/>
      <c r="D100" s="44"/>
      <c r="E100" s="53" t="s">
        <v>112</v>
      </c>
      <c r="F100" s="38"/>
      <c r="G100" s="45"/>
      <c r="H100" s="39"/>
      <c r="I100" s="54">
        <f>34555.23+33444.77</f>
        <v>68000</v>
      </c>
      <c r="J100" s="73">
        <f>34555.23+33444.77</f>
        <v>68000</v>
      </c>
      <c r="K100" s="71"/>
      <c r="L100" s="71"/>
      <c r="M100" s="50"/>
    </row>
    <row r="101" spans="1:14" s="40" customFormat="1" ht="54" x14ac:dyDescent="0.35">
      <c r="A101" s="43"/>
      <c r="B101" s="43"/>
      <c r="C101" s="43"/>
      <c r="D101" s="44"/>
      <c r="E101" s="53" t="s">
        <v>113</v>
      </c>
      <c r="F101" s="38"/>
      <c r="G101" s="45"/>
      <c r="H101" s="39"/>
      <c r="I101" s="54">
        <f>189169.08+194830.92</f>
        <v>384000</v>
      </c>
      <c r="J101" s="73">
        <f>189169.08+194830.92</f>
        <v>384000</v>
      </c>
      <c r="K101" s="71"/>
      <c r="L101" s="71"/>
      <c r="M101" s="50"/>
    </row>
    <row r="102" spans="1:14" ht="36" x14ac:dyDescent="0.35">
      <c r="A102" s="32"/>
      <c r="B102" s="32"/>
      <c r="C102" s="32"/>
      <c r="D102" s="26"/>
      <c r="E102" s="46" t="s">
        <v>230</v>
      </c>
      <c r="F102" s="28"/>
      <c r="G102" s="30"/>
      <c r="H102" s="31"/>
      <c r="I102" s="55">
        <v>100800</v>
      </c>
      <c r="J102" s="72">
        <v>100800</v>
      </c>
      <c r="K102" s="70"/>
      <c r="L102" s="70"/>
      <c r="M102" s="49"/>
    </row>
    <row r="103" spans="1:14" ht="54" x14ac:dyDescent="0.35">
      <c r="A103" s="32"/>
      <c r="B103" s="32"/>
      <c r="C103" s="32"/>
      <c r="D103" s="26"/>
      <c r="E103" s="46" t="s">
        <v>247</v>
      </c>
      <c r="F103" s="28"/>
      <c r="G103" s="30"/>
      <c r="H103" s="31"/>
      <c r="I103" s="55">
        <v>200000</v>
      </c>
      <c r="J103" s="72">
        <v>200000</v>
      </c>
      <c r="K103" s="70"/>
      <c r="L103" s="70"/>
      <c r="M103" s="49"/>
    </row>
    <row r="104" spans="1:14" ht="54" x14ac:dyDescent="0.35">
      <c r="A104" s="32"/>
      <c r="B104" s="32"/>
      <c r="C104" s="32"/>
      <c r="D104" s="26"/>
      <c r="E104" s="46" t="s">
        <v>248</v>
      </c>
      <c r="F104" s="28"/>
      <c r="G104" s="30"/>
      <c r="H104" s="31"/>
      <c r="I104" s="55">
        <v>261000</v>
      </c>
      <c r="J104" s="72">
        <v>261000</v>
      </c>
      <c r="K104" s="70"/>
      <c r="L104" s="70"/>
      <c r="M104" s="49"/>
    </row>
    <row r="105" spans="1:14" x14ac:dyDescent="0.35">
      <c r="A105" s="32"/>
      <c r="B105" s="32"/>
      <c r="C105" s="32"/>
      <c r="D105" s="26"/>
      <c r="E105" s="46" t="s">
        <v>319</v>
      </c>
      <c r="F105" s="28"/>
      <c r="G105" s="30"/>
      <c r="H105" s="31"/>
      <c r="I105" s="55">
        <v>300000</v>
      </c>
      <c r="J105" s="72">
        <v>300000</v>
      </c>
      <c r="K105" s="70"/>
      <c r="L105" s="70"/>
      <c r="M105" s="49"/>
    </row>
    <row r="106" spans="1:14" x14ac:dyDescent="0.35">
      <c r="A106" s="32">
        <v>1217640</v>
      </c>
      <c r="B106" s="48">
        <v>7640</v>
      </c>
      <c r="C106" s="46" t="s">
        <v>115</v>
      </c>
      <c r="D106" s="51" t="s">
        <v>116</v>
      </c>
      <c r="E106" s="51" t="s">
        <v>29</v>
      </c>
      <c r="F106" s="28"/>
      <c r="G106" s="30"/>
      <c r="H106" s="31"/>
      <c r="I106" s="49">
        <f>I107</f>
        <v>324089.55</v>
      </c>
      <c r="J106" s="70">
        <f>J107</f>
        <v>324089.55</v>
      </c>
      <c r="K106" s="70"/>
      <c r="L106" s="70"/>
      <c r="M106" s="49"/>
    </row>
    <row r="107" spans="1:14" s="40" customFormat="1" ht="72" x14ac:dyDescent="0.35">
      <c r="A107" s="43"/>
      <c r="B107" s="43"/>
      <c r="C107" s="43"/>
      <c r="D107" s="44"/>
      <c r="E107" s="51" t="s">
        <v>87</v>
      </c>
      <c r="F107" s="38"/>
      <c r="G107" s="45"/>
      <c r="H107" s="39"/>
      <c r="I107" s="49">
        <f>I108</f>
        <v>324089.55</v>
      </c>
      <c r="J107" s="70">
        <f>J108</f>
        <v>324089.55</v>
      </c>
      <c r="K107" s="71"/>
      <c r="L107" s="71"/>
      <c r="M107" s="50"/>
    </row>
    <row r="108" spans="1:14" s="40" customFormat="1" ht="54" x14ac:dyDescent="0.35">
      <c r="A108" s="43"/>
      <c r="B108" s="43"/>
      <c r="C108" s="43"/>
      <c r="D108" s="44"/>
      <c r="E108" s="52" t="s">
        <v>117</v>
      </c>
      <c r="F108" s="38"/>
      <c r="G108" s="45"/>
      <c r="H108" s="39"/>
      <c r="I108" s="50">
        <f>24079.6+300009.95</f>
        <v>324089.55</v>
      </c>
      <c r="J108" s="71">
        <f>24079.6+300009.95</f>
        <v>324089.55</v>
      </c>
      <c r="K108" s="71"/>
      <c r="L108" s="71"/>
      <c r="M108" s="50"/>
    </row>
    <row r="109" spans="1:14" ht="54" x14ac:dyDescent="0.35">
      <c r="A109" s="32">
        <v>1218110</v>
      </c>
      <c r="B109" s="48">
        <v>8110</v>
      </c>
      <c r="C109" s="46" t="s">
        <v>118</v>
      </c>
      <c r="D109" s="51" t="s">
        <v>119</v>
      </c>
      <c r="E109" s="51" t="s">
        <v>29</v>
      </c>
      <c r="F109" s="28"/>
      <c r="G109" s="30"/>
      <c r="H109" s="31"/>
      <c r="I109" s="49">
        <f>I110+I111</f>
        <v>2659114.6</v>
      </c>
      <c r="J109" s="70">
        <f>J110+J111</f>
        <v>2659114.6</v>
      </c>
      <c r="K109" s="70"/>
      <c r="L109" s="70"/>
      <c r="M109" s="49"/>
    </row>
    <row r="110" spans="1:14" ht="108" x14ac:dyDescent="0.35">
      <c r="A110" s="32"/>
      <c r="B110" s="32"/>
      <c r="C110" s="32"/>
      <c r="D110" s="26"/>
      <c r="E110" s="26" t="s">
        <v>179</v>
      </c>
      <c r="F110" s="15"/>
      <c r="G110" s="49"/>
      <c r="H110" s="31"/>
      <c r="I110" s="49">
        <v>1170000</v>
      </c>
      <c r="J110" s="70">
        <v>1170000</v>
      </c>
      <c r="K110" s="70"/>
      <c r="L110" s="70"/>
      <c r="M110" s="49"/>
    </row>
    <row r="111" spans="1:14" ht="54" x14ac:dyDescent="0.35">
      <c r="A111" s="32"/>
      <c r="B111" s="32"/>
      <c r="C111" s="32"/>
      <c r="D111" s="26"/>
      <c r="E111" s="26" t="s">
        <v>180</v>
      </c>
      <c r="F111" s="15"/>
      <c r="G111" s="49"/>
      <c r="H111" s="31"/>
      <c r="I111" s="49">
        <f>2639114.6-1150000</f>
        <v>1489114.6</v>
      </c>
      <c r="J111" s="70">
        <f>2639114.6-1150000</f>
        <v>1489114.6</v>
      </c>
      <c r="K111" s="70"/>
      <c r="L111" s="70"/>
      <c r="M111" s="49"/>
    </row>
    <row r="112" spans="1:14" ht="37.950000000000003" customHeight="1" x14ac:dyDescent="0.35">
      <c r="A112" s="29" t="s">
        <v>120</v>
      </c>
      <c r="B112" s="27" t="s">
        <v>36</v>
      </c>
      <c r="C112" s="27" t="s">
        <v>36</v>
      </c>
      <c r="D112" s="104" t="s">
        <v>121</v>
      </c>
      <c r="E112" s="104"/>
      <c r="F112" s="15"/>
      <c r="G112" s="49"/>
      <c r="H112" s="31"/>
      <c r="I112" s="36">
        <f>I113</f>
        <v>139806296.10999998</v>
      </c>
      <c r="J112" s="69">
        <f t="shared" ref="J112:L112" si="12">J113</f>
        <v>124064865.10999998</v>
      </c>
      <c r="K112" s="69">
        <f t="shared" si="12"/>
        <v>10141431</v>
      </c>
      <c r="L112" s="69">
        <f t="shared" si="12"/>
        <v>5600000</v>
      </c>
      <c r="M112" s="49"/>
      <c r="N112" s="1"/>
    </row>
    <row r="113" spans="1:15" ht="37.950000000000003" customHeight="1" x14ac:dyDescent="0.35">
      <c r="A113" s="29" t="s">
        <v>122</v>
      </c>
      <c r="B113" s="27" t="s">
        <v>36</v>
      </c>
      <c r="C113" s="27" t="s">
        <v>36</v>
      </c>
      <c r="D113" s="96" t="s">
        <v>121</v>
      </c>
      <c r="E113" s="97"/>
      <c r="F113" s="28"/>
      <c r="G113" s="30"/>
      <c r="H113" s="31"/>
      <c r="I113" s="36">
        <f>I114+I115+I116+I118+I155+I158+I169+I173+I192+I193+I199+I211+I224</f>
        <v>139806296.10999998</v>
      </c>
      <c r="J113" s="36">
        <f>J114+J115+J116+J118+J155+J158+J169+J173+J192+J193+J199+J211+J224</f>
        <v>124064865.10999998</v>
      </c>
      <c r="K113" s="36">
        <f>K114+K115+K116+K118+K155+K158+K169+K173+K192+K193+K199+K211+K224</f>
        <v>10141431</v>
      </c>
      <c r="L113" s="36">
        <f>L114+L115+L116+L118+L155+L158+L169+L173+L192+L193+L199+L211+L224</f>
        <v>5600000</v>
      </c>
      <c r="M113" s="49"/>
      <c r="N113" s="1"/>
      <c r="O113" s="1"/>
    </row>
    <row r="114" spans="1:15" ht="126" x14ac:dyDescent="0.35">
      <c r="A114" s="32">
        <v>1510150</v>
      </c>
      <c r="B114" s="48">
        <v>150</v>
      </c>
      <c r="C114" s="46" t="s">
        <v>27</v>
      </c>
      <c r="D114" s="51" t="s">
        <v>28</v>
      </c>
      <c r="E114" s="51" t="s">
        <v>123</v>
      </c>
      <c r="F114" s="28"/>
      <c r="G114" s="30"/>
      <c r="H114" s="31"/>
      <c r="I114" s="49">
        <f>550229.42</f>
        <v>550229.42000000004</v>
      </c>
      <c r="J114" s="70">
        <f>550229.42</f>
        <v>550229.42000000004</v>
      </c>
      <c r="K114" s="70"/>
      <c r="L114" s="70"/>
      <c r="M114" s="49"/>
    </row>
    <row r="115" spans="1:15" ht="72" x14ac:dyDescent="0.35">
      <c r="A115" s="32" t="s">
        <v>124</v>
      </c>
      <c r="B115" s="48" t="s">
        <v>53</v>
      </c>
      <c r="C115" s="46" t="s">
        <v>27</v>
      </c>
      <c r="D115" s="51" t="s">
        <v>54</v>
      </c>
      <c r="E115" s="51" t="s">
        <v>63</v>
      </c>
      <c r="F115" s="28"/>
      <c r="G115" s="30"/>
      <c r="H115" s="31"/>
      <c r="I115" s="49">
        <v>69000</v>
      </c>
      <c r="J115" s="70">
        <v>69000</v>
      </c>
      <c r="K115" s="70"/>
      <c r="L115" s="70"/>
      <c r="M115" s="49"/>
    </row>
    <row r="116" spans="1:15" ht="36" x14ac:dyDescent="0.35">
      <c r="A116" s="32">
        <v>1512010</v>
      </c>
      <c r="B116" s="48">
        <v>2010</v>
      </c>
      <c r="C116" s="46" t="s">
        <v>32</v>
      </c>
      <c r="D116" s="51" t="s">
        <v>33</v>
      </c>
      <c r="E116" s="51" t="s">
        <v>29</v>
      </c>
      <c r="F116" s="28"/>
      <c r="G116" s="30"/>
      <c r="H116" s="31"/>
      <c r="I116" s="49">
        <f>I117</f>
        <v>11568240.16</v>
      </c>
      <c r="J116" s="70">
        <f>J117</f>
        <v>5968240.1600000001</v>
      </c>
      <c r="K116" s="70">
        <f t="shared" ref="K116:L116" si="13">K117</f>
        <v>0</v>
      </c>
      <c r="L116" s="70">
        <f t="shared" si="13"/>
        <v>5600000</v>
      </c>
      <c r="M116" s="49"/>
    </row>
    <row r="117" spans="1:15" ht="108" x14ac:dyDescent="0.35">
      <c r="A117" s="32"/>
      <c r="B117" s="48"/>
      <c r="C117" s="46"/>
      <c r="D117" s="51"/>
      <c r="E117" s="51" t="s">
        <v>125</v>
      </c>
      <c r="F117" s="28"/>
      <c r="G117" s="30"/>
      <c r="H117" s="31"/>
      <c r="I117" s="49">
        <v>11568240.16</v>
      </c>
      <c r="J117" s="70">
        <v>5968240.1600000001</v>
      </c>
      <c r="K117" s="70"/>
      <c r="L117" s="70">
        <v>5600000</v>
      </c>
      <c r="M117" s="49"/>
    </row>
    <row r="118" spans="1:15" ht="36" x14ac:dyDescent="0.35">
      <c r="A118" s="32" t="s">
        <v>126</v>
      </c>
      <c r="B118" s="48" t="s">
        <v>127</v>
      </c>
      <c r="C118" s="46" t="s">
        <v>65</v>
      </c>
      <c r="D118" s="51" t="s">
        <v>86</v>
      </c>
      <c r="E118" s="51" t="s">
        <v>29</v>
      </c>
      <c r="F118" s="28"/>
      <c r="G118" s="30"/>
      <c r="H118" s="31"/>
      <c r="I118" s="49">
        <f>SUM(I119:I154)</f>
        <v>11847212.800000001</v>
      </c>
      <c r="J118" s="70">
        <f>SUM(J119:J154)</f>
        <v>12003212.800000001</v>
      </c>
      <c r="K118" s="70"/>
      <c r="L118" s="70"/>
      <c r="M118" s="49"/>
    </row>
    <row r="119" spans="1:15" s="40" customFormat="1" ht="36" x14ac:dyDescent="0.35">
      <c r="A119" s="43"/>
      <c r="B119" s="43"/>
      <c r="C119" s="43"/>
      <c r="D119" s="44"/>
      <c r="E119" s="58" t="s">
        <v>128</v>
      </c>
      <c r="F119" s="38"/>
      <c r="G119" s="45"/>
      <c r="H119" s="39"/>
      <c r="I119" s="60">
        <v>138596</v>
      </c>
      <c r="J119" s="74">
        <v>138596</v>
      </c>
      <c r="K119" s="71"/>
      <c r="L119" s="71"/>
      <c r="M119" s="50"/>
    </row>
    <row r="120" spans="1:15" s="40" customFormat="1" ht="36" x14ac:dyDescent="0.35">
      <c r="A120" s="43"/>
      <c r="B120" s="43"/>
      <c r="C120" s="43"/>
      <c r="D120" s="44"/>
      <c r="E120" s="58" t="s">
        <v>129</v>
      </c>
      <c r="F120" s="38"/>
      <c r="G120" s="45"/>
      <c r="H120" s="39"/>
      <c r="I120" s="60">
        <v>138596</v>
      </c>
      <c r="J120" s="74">
        <v>138596</v>
      </c>
      <c r="K120" s="71"/>
      <c r="L120" s="71"/>
      <c r="M120" s="50"/>
    </row>
    <row r="121" spans="1:15" s="40" customFormat="1" ht="36" x14ac:dyDescent="0.35">
      <c r="A121" s="43"/>
      <c r="B121" s="43"/>
      <c r="C121" s="43"/>
      <c r="D121" s="44"/>
      <c r="E121" s="58" t="s">
        <v>130</v>
      </c>
      <c r="F121" s="38"/>
      <c r="G121" s="45"/>
      <c r="H121" s="39"/>
      <c r="I121" s="60">
        <v>150000</v>
      </c>
      <c r="J121" s="74">
        <v>150000</v>
      </c>
      <c r="K121" s="71"/>
      <c r="L121" s="71"/>
      <c r="M121" s="50"/>
    </row>
    <row r="122" spans="1:15" s="40" customFormat="1" ht="36" x14ac:dyDescent="0.35">
      <c r="A122" s="43"/>
      <c r="B122" s="43"/>
      <c r="C122" s="43"/>
      <c r="D122" s="44"/>
      <c r="E122" s="58" t="s">
        <v>131</v>
      </c>
      <c r="F122" s="38"/>
      <c r="G122" s="45"/>
      <c r="H122" s="39"/>
      <c r="I122" s="60">
        <v>92033</v>
      </c>
      <c r="J122" s="74">
        <v>92033</v>
      </c>
      <c r="K122" s="71"/>
      <c r="L122" s="71"/>
      <c r="M122" s="50"/>
    </row>
    <row r="123" spans="1:15" s="40" customFormat="1" ht="54" x14ac:dyDescent="0.35">
      <c r="A123" s="43"/>
      <c r="B123" s="43"/>
      <c r="C123" s="43"/>
      <c r="D123" s="44"/>
      <c r="E123" s="58" t="s">
        <v>232</v>
      </c>
      <c r="F123" s="38"/>
      <c r="G123" s="45"/>
      <c r="H123" s="39"/>
      <c r="I123" s="60">
        <v>100000</v>
      </c>
      <c r="J123" s="74">
        <v>100000</v>
      </c>
      <c r="K123" s="71"/>
      <c r="L123" s="71"/>
      <c r="M123" s="50"/>
    </row>
    <row r="124" spans="1:15" s="40" customFormat="1" ht="36" x14ac:dyDescent="0.35">
      <c r="A124" s="43"/>
      <c r="B124" s="43"/>
      <c r="C124" s="43"/>
      <c r="D124" s="44"/>
      <c r="E124" s="58" t="s">
        <v>233</v>
      </c>
      <c r="F124" s="38"/>
      <c r="G124" s="45"/>
      <c r="H124" s="39"/>
      <c r="I124" s="60">
        <v>120000</v>
      </c>
      <c r="J124" s="74">
        <v>120000</v>
      </c>
      <c r="K124" s="71"/>
      <c r="L124" s="71"/>
      <c r="M124" s="50"/>
    </row>
    <row r="125" spans="1:15" s="40" customFormat="1" ht="54" x14ac:dyDescent="0.35">
      <c r="A125" s="43"/>
      <c r="B125" s="43"/>
      <c r="C125" s="43"/>
      <c r="D125" s="44"/>
      <c r="E125" s="58" t="s">
        <v>234</v>
      </c>
      <c r="F125" s="38"/>
      <c r="G125" s="45"/>
      <c r="H125" s="39"/>
      <c r="I125" s="60">
        <v>230000</v>
      </c>
      <c r="J125" s="74">
        <v>230000</v>
      </c>
      <c r="K125" s="71"/>
      <c r="L125" s="71"/>
      <c r="M125" s="50"/>
    </row>
    <row r="126" spans="1:15" s="40" customFormat="1" ht="36" x14ac:dyDescent="0.35">
      <c r="A126" s="43"/>
      <c r="B126" s="43"/>
      <c r="C126" s="43"/>
      <c r="D126" s="44"/>
      <c r="E126" s="58" t="s">
        <v>132</v>
      </c>
      <c r="F126" s="38"/>
      <c r="G126" s="45"/>
      <c r="H126" s="39"/>
      <c r="I126" s="60">
        <v>1521966.3</v>
      </c>
      <c r="J126" s="74">
        <v>1521966.3</v>
      </c>
      <c r="K126" s="71"/>
      <c r="L126" s="71"/>
      <c r="M126" s="50"/>
    </row>
    <row r="127" spans="1:15" s="40" customFormat="1" ht="54" x14ac:dyDescent="0.35">
      <c r="A127" s="43"/>
      <c r="B127" s="43"/>
      <c r="C127" s="43"/>
      <c r="D127" s="44"/>
      <c r="E127" s="58" t="s">
        <v>210</v>
      </c>
      <c r="F127" s="38"/>
      <c r="G127" s="45"/>
      <c r="H127" s="39"/>
      <c r="I127" s="60">
        <v>195577.45</v>
      </c>
      <c r="J127" s="74">
        <v>195577.45</v>
      </c>
      <c r="K127" s="71"/>
      <c r="L127" s="71"/>
      <c r="M127" s="50"/>
    </row>
    <row r="128" spans="1:15" s="40" customFormat="1" ht="36" x14ac:dyDescent="0.35">
      <c r="A128" s="43"/>
      <c r="B128" s="43"/>
      <c r="C128" s="43"/>
      <c r="D128" s="44"/>
      <c r="E128" s="58" t="s">
        <v>133</v>
      </c>
      <c r="F128" s="38"/>
      <c r="G128" s="45"/>
      <c r="H128" s="39"/>
      <c r="I128" s="60">
        <v>89932</v>
      </c>
      <c r="J128" s="74">
        <v>89932</v>
      </c>
      <c r="K128" s="71"/>
      <c r="L128" s="71"/>
      <c r="M128" s="50"/>
    </row>
    <row r="129" spans="1:13" s="40" customFormat="1" ht="36" x14ac:dyDescent="0.35">
      <c r="A129" s="43"/>
      <c r="B129" s="43"/>
      <c r="C129" s="43"/>
      <c r="D129" s="44"/>
      <c r="E129" s="58" t="s">
        <v>331</v>
      </c>
      <c r="F129" s="38"/>
      <c r="G129" s="45"/>
      <c r="H129" s="39"/>
      <c r="I129" s="60">
        <v>212796.55</v>
      </c>
      <c r="J129" s="74">
        <v>212796.55</v>
      </c>
      <c r="K129" s="71"/>
      <c r="L129" s="71"/>
      <c r="M129" s="50"/>
    </row>
    <row r="130" spans="1:13" s="40" customFormat="1" ht="36" x14ac:dyDescent="0.35">
      <c r="A130" s="43"/>
      <c r="B130" s="43"/>
      <c r="C130" s="43"/>
      <c r="D130" s="44"/>
      <c r="E130" s="58" t="s">
        <v>134</v>
      </c>
      <c r="F130" s="38"/>
      <c r="G130" s="45"/>
      <c r="H130" s="39"/>
      <c r="I130" s="60">
        <v>50000</v>
      </c>
      <c r="J130" s="74">
        <v>50000</v>
      </c>
      <c r="K130" s="71"/>
      <c r="L130" s="71"/>
      <c r="M130" s="50"/>
    </row>
    <row r="131" spans="1:13" s="40" customFormat="1" ht="36" x14ac:dyDescent="0.35">
      <c r="A131" s="43"/>
      <c r="B131" s="43"/>
      <c r="C131" s="43"/>
      <c r="D131" s="44"/>
      <c r="E131" s="58" t="s">
        <v>235</v>
      </c>
      <c r="F131" s="38"/>
      <c r="G131" s="45"/>
      <c r="H131" s="39"/>
      <c r="I131" s="60">
        <v>138190</v>
      </c>
      <c r="J131" s="74">
        <v>138190</v>
      </c>
      <c r="K131" s="71"/>
      <c r="L131" s="71"/>
      <c r="M131" s="50"/>
    </row>
    <row r="132" spans="1:13" s="40" customFormat="1" ht="36" x14ac:dyDescent="0.35">
      <c r="A132" s="43"/>
      <c r="B132" s="43"/>
      <c r="C132" s="43"/>
      <c r="D132" s="44"/>
      <c r="E132" s="58" t="s">
        <v>332</v>
      </c>
      <c r="F132" s="38"/>
      <c r="G132" s="45"/>
      <c r="H132" s="39"/>
      <c r="I132" s="60">
        <f>903751.49-533343.44</f>
        <v>370408.05000000005</v>
      </c>
      <c r="J132" s="74">
        <f>903751.49-533343.44</f>
        <v>370408.05000000005</v>
      </c>
      <c r="K132" s="71"/>
      <c r="L132" s="71"/>
      <c r="M132" s="50"/>
    </row>
    <row r="133" spans="1:13" s="40" customFormat="1" ht="54" x14ac:dyDescent="0.35">
      <c r="A133" s="43"/>
      <c r="B133" s="43"/>
      <c r="C133" s="43"/>
      <c r="D133" s="44"/>
      <c r="E133" s="58" t="s">
        <v>135</v>
      </c>
      <c r="F133" s="38"/>
      <c r="G133" s="45"/>
      <c r="H133" s="39"/>
      <c r="I133" s="60">
        <f>128577+159861.37</f>
        <v>288438.37</v>
      </c>
      <c r="J133" s="74">
        <f>128577+159861.37</f>
        <v>288438.37</v>
      </c>
      <c r="K133" s="71"/>
      <c r="L133" s="71"/>
      <c r="M133" s="50"/>
    </row>
    <row r="134" spans="1:13" s="40" customFormat="1" ht="36" x14ac:dyDescent="0.35">
      <c r="A134" s="43"/>
      <c r="B134" s="43"/>
      <c r="C134" s="43"/>
      <c r="D134" s="44"/>
      <c r="E134" s="58" t="s">
        <v>136</v>
      </c>
      <c r="F134" s="38"/>
      <c r="G134" s="45"/>
      <c r="H134" s="39"/>
      <c r="I134" s="60">
        <f>371069+260282.07</f>
        <v>631351.07000000007</v>
      </c>
      <c r="J134" s="74">
        <f>371069+260282.07</f>
        <v>631351.07000000007</v>
      </c>
      <c r="K134" s="71"/>
      <c r="L134" s="71"/>
      <c r="M134" s="50"/>
    </row>
    <row r="135" spans="1:13" s="40" customFormat="1" ht="36" x14ac:dyDescent="0.35">
      <c r="A135" s="43"/>
      <c r="B135" s="43"/>
      <c r="C135" s="43"/>
      <c r="D135" s="44"/>
      <c r="E135" s="58" t="s">
        <v>236</v>
      </c>
      <c r="F135" s="38"/>
      <c r="G135" s="45"/>
      <c r="H135" s="39"/>
      <c r="I135" s="60">
        <v>50000</v>
      </c>
      <c r="J135" s="74">
        <v>50000</v>
      </c>
      <c r="K135" s="71"/>
      <c r="L135" s="71"/>
      <c r="M135" s="50"/>
    </row>
    <row r="136" spans="1:13" s="40" customFormat="1" ht="54" x14ac:dyDescent="0.35">
      <c r="A136" s="43"/>
      <c r="B136" s="43"/>
      <c r="C136" s="43"/>
      <c r="D136" s="44"/>
      <c r="E136" s="58" t="s">
        <v>137</v>
      </c>
      <c r="F136" s="38"/>
      <c r="G136" s="45"/>
      <c r="H136" s="39"/>
      <c r="I136" s="60">
        <v>287415</v>
      </c>
      <c r="J136" s="74">
        <v>287415</v>
      </c>
      <c r="K136" s="71"/>
      <c r="L136" s="71"/>
      <c r="M136" s="50"/>
    </row>
    <row r="137" spans="1:13" s="40" customFormat="1" ht="54" x14ac:dyDescent="0.35">
      <c r="A137" s="43"/>
      <c r="B137" s="43"/>
      <c r="C137" s="43"/>
      <c r="D137" s="44"/>
      <c r="E137" s="58" t="s">
        <v>138</v>
      </c>
      <c r="F137" s="38"/>
      <c r="G137" s="45"/>
      <c r="H137" s="39"/>
      <c r="I137" s="60">
        <v>250000</v>
      </c>
      <c r="J137" s="74">
        <v>250000</v>
      </c>
      <c r="K137" s="71"/>
      <c r="L137" s="71"/>
      <c r="M137" s="50"/>
    </row>
    <row r="138" spans="1:13" s="40" customFormat="1" ht="54" x14ac:dyDescent="0.35">
      <c r="A138" s="43"/>
      <c r="B138" s="43"/>
      <c r="C138" s="43"/>
      <c r="D138" s="44"/>
      <c r="E138" s="58" t="s">
        <v>139</v>
      </c>
      <c r="F138" s="38"/>
      <c r="G138" s="45"/>
      <c r="H138" s="39"/>
      <c r="I138" s="60">
        <v>50000</v>
      </c>
      <c r="J138" s="74">
        <v>50000</v>
      </c>
      <c r="K138" s="71"/>
      <c r="L138" s="71"/>
      <c r="M138" s="50"/>
    </row>
    <row r="139" spans="1:13" s="40" customFormat="1" ht="36" x14ac:dyDescent="0.35">
      <c r="A139" s="43"/>
      <c r="B139" s="43"/>
      <c r="C139" s="43"/>
      <c r="D139" s="44"/>
      <c r="E139" s="58" t="s">
        <v>237</v>
      </c>
      <c r="F139" s="38"/>
      <c r="G139" s="45"/>
      <c r="H139" s="39"/>
      <c r="I139" s="60">
        <v>60000</v>
      </c>
      <c r="J139" s="74">
        <v>60000</v>
      </c>
      <c r="K139" s="71"/>
      <c r="L139" s="71"/>
      <c r="M139" s="50"/>
    </row>
    <row r="140" spans="1:13" s="40" customFormat="1" ht="54" x14ac:dyDescent="0.35">
      <c r="A140" s="43"/>
      <c r="B140" s="43"/>
      <c r="C140" s="43"/>
      <c r="D140" s="44"/>
      <c r="E140" s="58" t="s">
        <v>140</v>
      </c>
      <c r="F140" s="38"/>
      <c r="G140" s="45"/>
      <c r="H140" s="39"/>
      <c r="I140" s="60">
        <v>150000</v>
      </c>
      <c r="J140" s="74">
        <v>150000</v>
      </c>
      <c r="K140" s="71"/>
      <c r="L140" s="71"/>
      <c r="M140" s="50"/>
    </row>
    <row r="141" spans="1:13" s="40" customFormat="1" ht="36" x14ac:dyDescent="0.35">
      <c r="A141" s="43"/>
      <c r="B141" s="43"/>
      <c r="C141" s="43"/>
      <c r="D141" s="44"/>
      <c r="E141" s="58" t="s">
        <v>141</v>
      </c>
      <c r="F141" s="38"/>
      <c r="G141" s="45"/>
      <c r="H141" s="39"/>
      <c r="I141" s="60">
        <v>184898</v>
      </c>
      <c r="J141" s="74">
        <v>184898</v>
      </c>
      <c r="K141" s="71"/>
      <c r="L141" s="71"/>
      <c r="M141" s="50"/>
    </row>
    <row r="142" spans="1:13" s="40" customFormat="1" ht="54" x14ac:dyDescent="0.35">
      <c r="A142" s="43"/>
      <c r="B142" s="43"/>
      <c r="C142" s="43"/>
      <c r="D142" s="44"/>
      <c r="E142" s="58" t="s">
        <v>142</v>
      </c>
      <c r="F142" s="38"/>
      <c r="G142" s="45"/>
      <c r="H142" s="39"/>
      <c r="I142" s="60">
        <v>50000</v>
      </c>
      <c r="J142" s="74">
        <v>50000</v>
      </c>
      <c r="K142" s="71"/>
      <c r="L142" s="71"/>
      <c r="M142" s="50"/>
    </row>
    <row r="143" spans="1:13" s="40" customFormat="1" ht="36" x14ac:dyDescent="0.35">
      <c r="A143" s="43"/>
      <c r="B143" s="43"/>
      <c r="C143" s="43"/>
      <c r="D143" s="44"/>
      <c r="E143" s="58" t="s">
        <v>143</v>
      </c>
      <c r="F143" s="38"/>
      <c r="G143" s="45"/>
      <c r="H143" s="39"/>
      <c r="I143" s="60">
        <v>92033</v>
      </c>
      <c r="J143" s="74">
        <v>92033</v>
      </c>
      <c r="K143" s="71"/>
      <c r="L143" s="71"/>
      <c r="M143" s="50"/>
    </row>
    <row r="144" spans="1:13" s="40" customFormat="1" ht="54" x14ac:dyDescent="0.35">
      <c r="A144" s="43"/>
      <c r="B144" s="43"/>
      <c r="C144" s="43"/>
      <c r="D144" s="44"/>
      <c r="E144" s="58" t="s">
        <v>144</v>
      </c>
      <c r="F144" s="38"/>
      <c r="G144" s="45"/>
      <c r="H144" s="39"/>
      <c r="I144" s="60">
        <v>100000</v>
      </c>
      <c r="J144" s="74">
        <v>100000</v>
      </c>
      <c r="K144" s="71"/>
      <c r="L144" s="71"/>
      <c r="M144" s="50"/>
    </row>
    <row r="145" spans="1:13" s="40" customFormat="1" ht="36" x14ac:dyDescent="0.35">
      <c r="A145" s="43"/>
      <c r="B145" s="43"/>
      <c r="C145" s="43"/>
      <c r="D145" s="44"/>
      <c r="E145" s="58" t="s">
        <v>145</v>
      </c>
      <c r="F145" s="38"/>
      <c r="G145" s="45"/>
      <c r="H145" s="39"/>
      <c r="I145" s="60">
        <v>89932</v>
      </c>
      <c r="J145" s="74">
        <v>89932</v>
      </c>
      <c r="K145" s="71"/>
      <c r="L145" s="71"/>
      <c r="M145" s="50"/>
    </row>
    <row r="146" spans="1:13" s="40" customFormat="1" ht="54" x14ac:dyDescent="0.35">
      <c r="A146" s="43"/>
      <c r="B146" s="43"/>
      <c r="C146" s="43"/>
      <c r="D146" s="44"/>
      <c r="E146" s="58" t="s">
        <v>249</v>
      </c>
      <c r="F146" s="38"/>
      <c r="G146" s="45"/>
      <c r="H146" s="39"/>
      <c r="I146" s="60">
        <v>400000</v>
      </c>
      <c r="J146" s="74">
        <v>400000</v>
      </c>
      <c r="K146" s="71"/>
      <c r="L146" s="71"/>
      <c r="M146" s="50"/>
    </row>
    <row r="147" spans="1:13" s="40" customFormat="1" ht="54" x14ac:dyDescent="0.35">
      <c r="A147" s="43"/>
      <c r="B147" s="43"/>
      <c r="C147" s="43"/>
      <c r="D147" s="44"/>
      <c r="E147" s="58" t="s">
        <v>146</v>
      </c>
      <c r="F147" s="38"/>
      <c r="G147" s="45"/>
      <c r="H147" s="39"/>
      <c r="I147" s="60">
        <v>2784.01</v>
      </c>
      <c r="J147" s="74">
        <v>2784.01</v>
      </c>
      <c r="K147" s="71"/>
      <c r="L147" s="71"/>
      <c r="M147" s="50"/>
    </row>
    <row r="148" spans="1:13" s="40" customFormat="1" ht="36" x14ac:dyDescent="0.35">
      <c r="A148" s="43"/>
      <c r="B148" s="43"/>
      <c r="C148" s="43"/>
      <c r="D148" s="44"/>
      <c r="E148" s="58" t="s">
        <v>147</v>
      </c>
      <c r="F148" s="38"/>
      <c r="G148" s="45"/>
      <c r="H148" s="39"/>
      <c r="I148" s="60">
        <v>127802</v>
      </c>
      <c r="J148" s="74">
        <v>127802</v>
      </c>
      <c r="K148" s="71"/>
      <c r="L148" s="71"/>
      <c r="M148" s="50"/>
    </row>
    <row r="149" spans="1:13" s="40" customFormat="1" ht="54" x14ac:dyDescent="0.35">
      <c r="A149" s="43"/>
      <c r="B149" s="43"/>
      <c r="C149" s="43"/>
      <c r="D149" s="44"/>
      <c r="E149" s="58" t="s">
        <v>148</v>
      </c>
      <c r="F149" s="38"/>
      <c r="G149" s="45"/>
      <c r="H149" s="39"/>
      <c r="I149" s="60">
        <v>375100</v>
      </c>
      <c r="J149" s="74">
        <v>375100</v>
      </c>
      <c r="K149" s="71"/>
      <c r="L149" s="71"/>
      <c r="M149" s="50"/>
    </row>
    <row r="150" spans="1:13" s="40" customFormat="1" ht="54" x14ac:dyDescent="0.35">
      <c r="A150" s="43"/>
      <c r="B150" s="43"/>
      <c r="C150" s="43"/>
      <c r="D150" s="44"/>
      <c r="E150" s="58" t="s">
        <v>328</v>
      </c>
      <c r="F150" s="38"/>
      <c r="G150" s="45"/>
      <c r="H150" s="39"/>
      <c r="I150" s="60">
        <v>139158</v>
      </c>
      <c r="J150" s="74">
        <v>139158</v>
      </c>
      <c r="K150" s="71"/>
      <c r="L150" s="71"/>
      <c r="M150" s="50"/>
    </row>
    <row r="151" spans="1:13" s="40" customFormat="1" ht="54" x14ac:dyDescent="0.35">
      <c r="A151" s="43"/>
      <c r="B151" s="43"/>
      <c r="C151" s="43"/>
      <c r="D151" s="44"/>
      <c r="E151" s="58" t="s">
        <v>149</v>
      </c>
      <c r="F151" s="38"/>
      <c r="G151" s="45"/>
      <c r="H151" s="39"/>
      <c r="I151" s="60">
        <v>403724</v>
      </c>
      <c r="J151" s="74">
        <v>403724</v>
      </c>
      <c r="K151" s="71"/>
      <c r="L151" s="71"/>
      <c r="M151" s="50"/>
    </row>
    <row r="152" spans="1:13" s="40" customFormat="1" ht="36" x14ac:dyDescent="0.35">
      <c r="A152" s="43"/>
      <c r="B152" s="43"/>
      <c r="C152" s="43"/>
      <c r="D152" s="44"/>
      <c r="E152" s="58" t="s">
        <v>150</v>
      </c>
      <c r="F152" s="38"/>
      <c r="G152" s="45"/>
      <c r="H152" s="39"/>
      <c r="I152" s="60">
        <v>186580</v>
      </c>
      <c r="J152" s="74">
        <v>186580</v>
      </c>
      <c r="K152" s="71"/>
      <c r="L152" s="71"/>
      <c r="M152" s="50"/>
    </row>
    <row r="153" spans="1:13" s="40" customFormat="1" ht="54" x14ac:dyDescent="0.35">
      <c r="A153" s="43"/>
      <c r="B153" s="43"/>
      <c r="C153" s="43"/>
      <c r="D153" s="44"/>
      <c r="E153" s="58" t="s">
        <v>151</v>
      </c>
      <c r="F153" s="38"/>
      <c r="G153" s="45"/>
      <c r="H153" s="39"/>
      <c r="I153" s="60">
        <v>237608</v>
      </c>
      <c r="J153" s="74">
        <v>237608</v>
      </c>
      <c r="K153" s="71"/>
      <c r="L153" s="71"/>
      <c r="M153" s="50"/>
    </row>
    <row r="154" spans="1:13" s="40" customFormat="1" x14ac:dyDescent="0.35">
      <c r="A154" s="43"/>
      <c r="B154" s="43"/>
      <c r="C154" s="43"/>
      <c r="D154" s="44"/>
      <c r="E154" s="58" t="s">
        <v>326</v>
      </c>
      <c r="F154" s="38"/>
      <c r="G154" s="45"/>
      <c r="H154" s="39"/>
      <c r="I154" s="60">
        <f>4400000-101706-156000</f>
        <v>4142294</v>
      </c>
      <c r="J154" s="74">
        <f>4400000-101706</f>
        <v>4298294</v>
      </c>
      <c r="K154" s="71"/>
      <c r="L154" s="71"/>
      <c r="M154" s="50"/>
    </row>
    <row r="155" spans="1:13" ht="54" x14ac:dyDescent="0.35">
      <c r="A155" s="32" t="s">
        <v>216</v>
      </c>
      <c r="B155" s="48" t="s">
        <v>217</v>
      </c>
      <c r="C155" s="46" t="s">
        <v>100</v>
      </c>
      <c r="D155" s="51" t="s">
        <v>218</v>
      </c>
      <c r="E155" s="51" t="s">
        <v>29</v>
      </c>
      <c r="F155" s="38"/>
      <c r="G155" s="45"/>
      <c r="H155" s="39"/>
      <c r="I155" s="59">
        <f>I156+I157</f>
        <v>16360000</v>
      </c>
      <c r="J155" s="70">
        <f>J156+J157</f>
        <v>12229362</v>
      </c>
      <c r="K155" s="71">
        <f>K156</f>
        <v>4130638</v>
      </c>
      <c r="L155" s="71"/>
      <c r="M155" s="50"/>
    </row>
    <row r="156" spans="1:13" ht="36" x14ac:dyDescent="0.35">
      <c r="A156" s="32"/>
      <c r="B156" s="32"/>
      <c r="C156" s="32"/>
      <c r="D156" s="26"/>
      <c r="E156" s="46" t="s">
        <v>220</v>
      </c>
      <c r="F156" s="28"/>
      <c r="G156" s="30"/>
      <c r="H156" s="31"/>
      <c r="I156" s="60">
        <v>13360000</v>
      </c>
      <c r="J156" s="74">
        <v>9229362</v>
      </c>
      <c r="K156" s="70">
        <v>4130638</v>
      </c>
      <c r="L156" s="70"/>
      <c r="M156" s="49"/>
    </row>
    <row r="157" spans="1:13" ht="36" x14ac:dyDescent="0.35">
      <c r="A157" s="32"/>
      <c r="B157" s="32"/>
      <c r="C157" s="32"/>
      <c r="D157" s="26"/>
      <c r="E157" s="46" t="s">
        <v>219</v>
      </c>
      <c r="F157" s="28"/>
      <c r="G157" s="30"/>
      <c r="H157" s="31"/>
      <c r="I157" s="60">
        <v>3000000</v>
      </c>
      <c r="J157" s="74">
        <v>3000000</v>
      </c>
      <c r="K157" s="70"/>
      <c r="L157" s="70"/>
      <c r="M157" s="49"/>
    </row>
    <row r="158" spans="1:13" ht="54" x14ac:dyDescent="0.35">
      <c r="A158" s="32" t="s">
        <v>152</v>
      </c>
      <c r="B158" s="48" t="s">
        <v>153</v>
      </c>
      <c r="C158" s="46" t="s">
        <v>100</v>
      </c>
      <c r="D158" s="51" t="s">
        <v>154</v>
      </c>
      <c r="E158" s="46" t="s">
        <v>29</v>
      </c>
      <c r="F158" s="38"/>
      <c r="G158" s="45"/>
      <c r="H158" s="39"/>
      <c r="I158" s="59">
        <f>SUM(I159:I168)</f>
        <v>21445813.359999999</v>
      </c>
      <c r="J158" s="70">
        <f>SUM(J159:J168)</f>
        <v>21445813.359999999</v>
      </c>
      <c r="K158" s="71"/>
      <c r="L158" s="71"/>
      <c r="M158" s="50"/>
    </row>
    <row r="159" spans="1:13" ht="54" x14ac:dyDescent="0.35">
      <c r="A159" s="32"/>
      <c r="B159" s="48"/>
      <c r="C159" s="46"/>
      <c r="D159" s="51"/>
      <c r="E159" s="46" t="s">
        <v>212</v>
      </c>
      <c r="F159" s="38"/>
      <c r="G159" s="45"/>
      <c r="H159" s="39"/>
      <c r="I159" s="59">
        <v>1700210</v>
      </c>
      <c r="J159" s="70">
        <v>1700210</v>
      </c>
      <c r="K159" s="71"/>
      <c r="L159" s="71"/>
      <c r="M159" s="50"/>
    </row>
    <row r="160" spans="1:13" ht="54" x14ac:dyDescent="0.35">
      <c r="A160" s="32"/>
      <c r="B160" s="48"/>
      <c r="C160" s="46"/>
      <c r="D160" s="51"/>
      <c r="E160" s="46" t="s">
        <v>321</v>
      </c>
      <c r="F160" s="38"/>
      <c r="G160" s="45"/>
      <c r="H160" s="39"/>
      <c r="I160" s="59">
        <v>1001010</v>
      </c>
      <c r="J160" s="70">
        <v>1001010</v>
      </c>
      <c r="K160" s="71"/>
      <c r="L160" s="71"/>
      <c r="M160" s="50"/>
    </row>
    <row r="161" spans="1:13" ht="54" x14ac:dyDescent="0.35">
      <c r="A161" s="32"/>
      <c r="B161" s="32"/>
      <c r="C161" s="65"/>
      <c r="D161" s="46"/>
      <c r="E161" s="47" t="s">
        <v>320</v>
      </c>
      <c r="F161" s="28"/>
      <c r="G161" s="30"/>
      <c r="H161" s="31"/>
      <c r="I161" s="55">
        <v>12212800</v>
      </c>
      <c r="J161" s="72">
        <v>12212800</v>
      </c>
      <c r="K161" s="72"/>
      <c r="L161" s="70"/>
      <c r="M161" s="49"/>
    </row>
    <row r="162" spans="1:13" ht="72" x14ac:dyDescent="0.35">
      <c r="A162" s="32"/>
      <c r="B162" s="32"/>
      <c r="C162" s="65"/>
      <c r="D162" s="46"/>
      <c r="E162" s="47" t="s">
        <v>323</v>
      </c>
      <c r="F162" s="28"/>
      <c r="G162" s="30"/>
      <c r="H162" s="31"/>
      <c r="I162" s="55">
        <v>750000</v>
      </c>
      <c r="J162" s="72">
        <v>750000</v>
      </c>
      <c r="K162" s="72"/>
      <c r="L162" s="70"/>
      <c r="M162" s="49"/>
    </row>
    <row r="163" spans="1:13" ht="36" x14ac:dyDescent="0.35">
      <c r="A163" s="32"/>
      <c r="B163" s="32"/>
      <c r="C163" s="65"/>
      <c r="D163" s="46"/>
      <c r="E163" s="47" t="s">
        <v>268</v>
      </c>
      <c r="F163" s="28"/>
      <c r="G163" s="30"/>
      <c r="H163" s="31"/>
      <c r="I163" s="55">
        <v>380000</v>
      </c>
      <c r="J163" s="72">
        <v>380000</v>
      </c>
      <c r="K163" s="72"/>
      <c r="L163" s="70"/>
      <c r="M163" s="49"/>
    </row>
    <row r="164" spans="1:13" ht="36" x14ac:dyDescent="0.35">
      <c r="A164" s="32"/>
      <c r="B164" s="32"/>
      <c r="C164" s="65"/>
      <c r="D164" s="46"/>
      <c r="E164" s="47" t="s">
        <v>265</v>
      </c>
      <c r="F164" s="28"/>
      <c r="G164" s="30"/>
      <c r="H164" s="31"/>
      <c r="I164" s="55">
        <f>450000+163800</f>
        <v>613800</v>
      </c>
      <c r="J164" s="72">
        <f>450000+163800</f>
        <v>613800</v>
      </c>
      <c r="K164" s="72"/>
      <c r="L164" s="70"/>
      <c r="M164" s="49"/>
    </row>
    <row r="165" spans="1:13" ht="54" x14ac:dyDescent="0.35">
      <c r="A165" s="32"/>
      <c r="B165" s="32"/>
      <c r="C165" s="65"/>
      <c r="D165" s="46"/>
      <c r="E165" s="47" t="s">
        <v>269</v>
      </c>
      <c r="F165" s="28"/>
      <c r="G165" s="30"/>
      <c r="H165" s="31"/>
      <c r="I165" s="55">
        <f>1065000+727000+1089000+591000</f>
        <v>3472000</v>
      </c>
      <c r="J165" s="72">
        <f>1065000+727000+1089000+591000</f>
        <v>3472000</v>
      </c>
      <c r="K165" s="72"/>
      <c r="L165" s="70"/>
      <c r="M165" s="49"/>
    </row>
    <row r="166" spans="1:13" ht="54" x14ac:dyDescent="0.35">
      <c r="A166" s="32"/>
      <c r="B166" s="32"/>
      <c r="C166" s="65"/>
      <c r="D166" s="46"/>
      <c r="E166" s="47" t="s">
        <v>266</v>
      </c>
      <c r="F166" s="28"/>
      <c r="G166" s="30"/>
      <c r="H166" s="31"/>
      <c r="I166" s="55">
        <v>485000</v>
      </c>
      <c r="J166" s="72">
        <v>485000</v>
      </c>
      <c r="K166" s="72"/>
      <c r="L166" s="70"/>
      <c r="M166" s="49"/>
    </row>
    <row r="167" spans="1:13" ht="36" x14ac:dyDescent="0.35">
      <c r="A167" s="32"/>
      <c r="B167" s="32"/>
      <c r="C167" s="65"/>
      <c r="D167" s="46"/>
      <c r="E167" s="47" t="s">
        <v>267</v>
      </c>
      <c r="F167" s="28"/>
      <c r="G167" s="30"/>
      <c r="H167" s="31"/>
      <c r="I167" s="55">
        <f>640000-163800-85206.64</f>
        <v>390993.36</v>
      </c>
      <c r="J167" s="72">
        <f>640000-163800-85206.64</f>
        <v>390993.36</v>
      </c>
      <c r="K167" s="72"/>
      <c r="L167" s="70"/>
      <c r="M167" s="49"/>
    </row>
    <row r="168" spans="1:13" ht="36" x14ac:dyDescent="0.35">
      <c r="A168" s="32"/>
      <c r="B168" s="32"/>
      <c r="C168" s="65"/>
      <c r="D168" s="46"/>
      <c r="E168" s="47" t="s">
        <v>322</v>
      </c>
      <c r="F168" s="28"/>
      <c r="G168" s="30"/>
      <c r="H168" s="31"/>
      <c r="I168" s="55">
        <v>440000</v>
      </c>
      <c r="J168" s="72">
        <v>440000</v>
      </c>
      <c r="K168" s="72"/>
      <c r="L168" s="70"/>
      <c r="M168" s="49"/>
    </row>
    <row r="169" spans="1:13" ht="36" x14ac:dyDescent="0.35">
      <c r="A169" s="32" t="s">
        <v>155</v>
      </c>
      <c r="B169" s="48" t="s">
        <v>99</v>
      </c>
      <c r="C169" s="46" t="s">
        <v>100</v>
      </c>
      <c r="D169" s="51" t="s">
        <v>101</v>
      </c>
      <c r="E169" s="51" t="s">
        <v>29</v>
      </c>
      <c r="F169" s="28"/>
      <c r="G169" s="30"/>
      <c r="H169" s="31"/>
      <c r="I169" s="49">
        <f>I170+I171+I172</f>
        <v>27712038.559999999</v>
      </c>
      <c r="J169" s="70">
        <f t="shared" ref="J169:L169" si="14">J170+J171+J172</f>
        <v>25712038.559999999</v>
      </c>
      <c r="K169" s="70">
        <f t="shared" si="14"/>
        <v>2000000</v>
      </c>
      <c r="L169" s="70">
        <f t="shared" si="14"/>
        <v>0</v>
      </c>
      <c r="M169" s="49"/>
    </row>
    <row r="170" spans="1:13" s="40" customFormat="1" ht="36" x14ac:dyDescent="0.35">
      <c r="A170" s="43"/>
      <c r="B170" s="43"/>
      <c r="C170" s="43"/>
      <c r="D170" s="44"/>
      <c r="E170" s="58" t="s">
        <v>156</v>
      </c>
      <c r="F170" s="38"/>
      <c r="G170" s="45"/>
      <c r="H170" s="39"/>
      <c r="I170" s="59">
        <v>1100019.28</v>
      </c>
      <c r="J170" s="70">
        <v>1100019.28</v>
      </c>
      <c r="K170" s="71"/>
      <c r="L170" s="71"/>
      <c r="M170" s="50"/>
    </row>
    <row r="171" spans="1:13" s="40" customFormat="1" ht="36" x14ac:dyDescent="0.35">
      <c r="A171" s="43"/>
      <c r="B171" s="43"/>
      <c r="C171" s="43"/>
      <c r="D171" s="44"/>
      <c r="E171" s="58" t="s">
        <v>157</v>
      </c>
      <c r="F171" s="38"/>
      <c r="G171" s="45"/>
      <c r="H171" s="39"/>
      <c r="I171" s="59">
        <v>1100019.28</v>
      </c>
      <c r="J171" s="70">
        <v>1100019.28</v>
      </c>
      <c r="K171" s="71"/>
      <c r="L171" s="71"/>
      <c r="M171" s="50"/>
    </row>
    <row r="172" spans="1:13" s="40" customFormat="1" ht="54" x14ac:dyDescent="0.35">
      <c r="A172" s="43"/>
      <c r="B172" s="43"/>
      <c r="C172" s="43"/>
      <c r="D172" s="44"/>
      <c r="E172" s="58" t="s">
        <v>270</v>
      </c>
      <c r="F172" s="38"/>
      <c r="G172" s="45"/>
      <c r="H172" s="39"/>
      <c r="I172" s="59">
        <f>25512000</f>
        <v>25512000</v>
      </c>
      <c r="J172" s="70">
        <f>23512000</f>
        <v>23512000</v>
      </c>
      <c r="K172" s="70">
        <v>2000000</v>
      </c>
      <c r="L172" s="71"/>
      <c r="M172" s="50"/>
    </row>
    <row r="173" spans="1:13" ht="36" x14ac:dyDescent="0.35">
      <c r="A173" s="32" t="s">
        <v>158</v>
      </c>
      <c r="B173" s="48" t="s">
        <v>103</v>
      </c>
      <c r="C173" s="46" t="s">
        <v>100</v>
      </c>
      <c r="D173" s="51" t="s">
        <v>104</v>
      </c>
      <c r="E173" s="51" t="s">
        <v>29</v>
      </c>
      <c r="F173" s="28"/>
      <c r="G173" s="30"/>
      <c r="H173" s="31"/>
      <c r="I173" s="49">
        <f>SUM(I174:I191)</f>
        <v>9514071.0999999996</v>
      </c>
      <c r="J173" s="49">
        <f>SUM(J174:J191)</f>
        <v>9514071.0999999996</v>
      </c>
      <c r="K173" s="70"/>
      <c r="L173" s="70"/>
      <c r="M173" s="49"/>
    </row>
    <row r="174" spans="1:13" ht="54" x14ac:dyDescent="0.35">
      <c r="A174" s="32"/>
      <c r="B174" s="48"/>
      <c r="C174" s="46"/>
      <c r="D174" s="51"/>
      <c r="E174" s="58" t="s">
        <v>255</v>
      </c>
      <c r="F174" s="28"/>
      <c r="G174" s="30"/>
      <c r="H174" s="31"/>
      <c r="I174" s="49">
        <f>134497.4+39038.02</f>
        <v>173535.41999999998</v>
      </c>
      <c r="J174" s="70">
        <f>134497.4+39038.02</f>
        <v>173535.41999999998</v>
      </c>
      <c r="K174" s="70"/>
      <c r="L174" s="70"/>
      <c r="M174" s="49"/>
    </row>
    <row r="175" spans="1:13" ht="54" x14ac:dyDescent="0.35">
      <c r="A175" s="32"/>
      <c r="B175" s="48"/>
      <c r="C175" s="46"/>
      <c r="D175" s="51"/>
      <c r="E175" s="58" t="s">
        <v>333</v>
      </c>
      <c r="F175" s="28"/>
      <c r="G175" s="30"/>
      <c r="H175" s="31"/>
      <c r="I175" s="49">
        <v>101706</v>
      </c>
      <c r="J175" s="70">
        <v>101706</v>
      </c>
      <c r="K175" s="70"/>
      <c r="L175" s="70"/>
      <c r="M175" s="49"/>
    </row>
    <row r="176" spans="1:13" ht="72" x14ac:dyDescent="0.35">
      <c r="A176" s="32"/>
      <c r="B176" s="48"/>
      <c r="C176" s="46"/>
      <c r="D176" s="51"/>
      <c r="E176" s="58" t="s">
        <v>330</v>
      </c>
      <c r="F176" s="28"/>
      <c r="G176" s="30"/>
      <c r="H176" s="31"/>
      <c r="I176" s="49">
        <v>313200</v>
      </c>
      <c r="J176" s="70">
        <v>313200</v>
      </c>
      <c r="K176" s="70"/>
      <c r="L176" s="70"/>
      <c r="M176" s="49"/>
    </row>
    <row r="177" spans="1:13" ht="72" x14ac:dyDescent="0.35">
      <c r="A177" s="32"/>
      <c r="B177" s="48"/>
      <c r="C177" s="46"/>
      <c r="D177" s="51"/>
      <c r="E177" s="58" t="s">
        <v>329</v>
      </c>
      <c r="F177" s="28"/>
      <c r="G177" s="30"/>
      <c r="H177" s="31"/>
      <c r="I177" s="49">
        <v>237030</v>
      </c>
      <c r="J177" s="70">
        <v>237030</v>
      </c>
      <c r="K177" s="70"/>
      <c r="L177" s="70"/>
      <c r="M177" s="49"/>
    </row>
    <row r="178" spans="1:13" ht="54" x14ac:dyDescent="0.35">
      <c r="A178" s="32"/>
      <c r="B178" s="32"/>
      <c r="C178" s="32"/>
      <c r="D178" s="26"/>
      <c r="E178" s="58" t="s">
        <v>159</v>
      </c>
      <c r="F178" s="28"/>
      <c r="G178" s="30"/>
      <c r="H178" s="31"/>
      <c r="I178" s="61">
        <v>105735.81</v>
      </c>
      <c r="J178" s="75">
        <v>105735.81</v>
      </c>
      <c r="K178" s="70"/>
      <c r="L178" s="70"/>
      <c r="M178" s="49"/>
    </row>
    <row r="179" spans="1:13" ht="72" x14ac:dyDescent="0.35">
      <c r="A179" s="32"/>
      <c r="B179" s="32"/>
      <c r="C179" s="32"/>
      <c r="D179" s="26"/>
      <c r="E179" s="58" t="s">
        <v>252</v>
      </c>
      <c r="F179" s="28"/>
      <c r="G179" s="30"/>
      <c r="H179" s="31"/>
      <c r="I179" s="61">
        <v>111493.37</v>
      </c>
      <c r="J179" s="75">
        <v>111493.37</v>
      </c>
      <c r="K179" s="70"/>
      <c r="L179" s="70"/>
      <c r="M179" s="49"/>
    </row>
    <row r="180" spans="1:13" ht="54" x14ac:dyDescent="0.35">
      <c r="A180" s="32"/>
      <c r="B180" s="32"/>
      <c r="C180" s="32"/>
      <c r="D180" s="26"/>
      <c r="E180" s="58" t="s">
        <v>160</v>
      </c>
      <c r="F180" s="28"/>
      <c r="G180" s="30"/>
      <c r="H180" s="31"/>
      <c r="I180" s="61">
        <f>91093.37+25600</f>
        <v>116693.37</v>
      </c>
      <c r="J180" s="75">
        <f>91093.37+25600</f>
        <v>116693.37</v>
      </c>
      <c r="K180" s="70"/>
      <c r="L180" s="70"/>
      <c r="M180" s="49"/>
    </row>
    <row r="181" spans="1:13" ht="54" x14ac:dyDescent="0.35">
      <c r="A181" s="32"/>
      <c r="B181" s="32"/>
      <c r="C181" s="32"/>
      <c r="D181" s="26"/>
      <c r="E181" s="58" t="s">
        <v>161</v>
      </c>
      <c r="F181" s="28"/>
      <c r="G181" s="30"/>
      <c r="H181" s="31"/>
      <c r="I181" s="61">
        <f>148644+40300-179000</f>
        <v>9944</v>
      </c>
      <c r="J181" s="75">
        <f>148644+40300-179000</f>
        <v>9944</v>
      </c>
      <c r="K181" s="70"/>
      <c r="L181" s="70"/>
      <c r="M181" s="49"/>
    </row>
    <row r="182" spans="1:13" ht="54" x14ac:dyDescent="0.35">
      <c r="A182" s="32"/>
      <c r="B182" s="32"/>
      <c r="C182" s="32"/>
      <c r="D182" s="26"/>
      <c r="E182" s="58" t="s">
        <v>162</v>
      </c>
      <c r="F182" s="28"/>
      <c r="G182" s="30"/>
      <c r="H182" s="31"/>
      <c r="I182" s="61">
        <v>329491.84000000003</v>
      </c>
      <c r="J182" s="75">
        <v>329491.84000000003</v>
      </c>
      <c r="K182" s="70"/>
      <c r="L182" s="70"/>
      <c r="M182" s="49"/>
    </row>
    <row r="183" spans="1:13" ht="54" x14ac:dyDescent="0.35">
      <c r="A183" s="32"/>
      <c r="B183" s="32"/>
      <c r="C183" s="32"/>
      <c r="D183" s="26"/>
      <c r="E183" s="58" t="s">
        <v>163</v>
      </c>
      <c r="F183" s="28"/>
      <c r="G183" s="30"/>
      <c r="H183" s="31"/>
      <c r="I183" s="61">
        <f>186640.05+58100</f>
        <v>244740.05</v>
      </c>
      <c r="J183" s="75">
        <f>186640.05+58100</f>
        <v>244740.05</v>
      </c>
      <c r="K183" s="70"/>
      <c r="L183" s="70"/>
      <c r="M183" s="49"/>
    </row>
    <row r="184" spans="1:13" ht="54" x14ac:dyDescent="0.35">
      <c r="A184" s="32"/>
      <c r="B184" s="32"/>
      <c r="C184" s="32"/>
      <c r="D184" s="26"/>
      <c r="E184" s="58" t="s">
        <v>250</v>
      </c>
      <c r="F184" s="28"/>
      <c r="G184" s="30"/>
      <c r="H184" s="31"/>
      <c r="I184" s="61">
        <v>175000</v>
      </c>
      <c r="J184" s="75">
        <v>175000</v>
      </c>
      <c r="K184" s="70"/>
      <c r="L184" s="70"/>
      <c r="M184" s="49"/>
    </row>
    <row r="185" spans="1:13" ht="54" x14ac:dyDescent="0.35">
      <c r="A185" s="32"/>
      <c r="B185" s="32"/>
      <c r="C185" s="32"/>
      <c r="D185" s="26"/>
      <c r="E185" s="58" t="s">
        <v>251</v>
      </c>
      <c r="F185" s="28"/>
      <c r="G185" s="30"/>
      <c r="H185" s="31"/>
      <c r="I185" s="61">
        <v>91093.37</v>
      </c>
      <c r="J185" s="75">
        <v>91093.37</v>
      </c>
      <c r="K185" s="70"/>
      <c r="L185" s="70"/>
      <c r="M185" s="49"/>
    </row>
    <row r="186" spans="1:13" ht="54" x14ac:dyDescent="0.35">
      <c r="A186" s="32"/>
      <c r="B186" s="32"/>
      <c r="C186" s="32"/>
      <c r="D186" s="26"/>
      <c r="E186" s="58" t="s">
        <v>164</v>
      </c>
      <c r="F186" s="28"/>
      <c r="G186" s="30"/>
      <c r="H186" s="31"/>
      <c r="I186" s="61">
        <f>458427.97-237030</f>
        <v>221397.96999999997</v>
      </c>
      <c r="J186" s="75">
        <f>458427.97-237030</f>
        <v>221397.96999999997</v>
      </c>
      <c r="K186" s="70"/>
      <c r="L186" s="70"/>
      <c r="M186" s="49"/>
    </row>
    <row r="187" spans="1:13" ht="54" x14ac:dyDescent="0.35">
      <c r="A187" s="32"/>
      <c r="B187" s="32"/>
      <c r="C187" s="32"/>
      <c r="D187" s="26"/>
      <c r="E187" s="58" t="s">
        <v>165</v>
      </c>
      <c r="F187" s="28"/>
      <c r="G187" s="30"/>
      <c r="H187" s="31"/>
      <c r="I187" s="61">
        <v>188769.9</v>
      </c>
      <c r="J187" s="75">
        <v>188769.9</v>
      </c>
      <c r="K187" s="70"/>
      <c r="L187" s="70"/>
      <c r="M187" s="49"/>
    </row>
    <row r="188" spans="1:13" ht="90" x14ac:dyDescent="0.35">
      <c r="A188" s="32"/>
      <c r="B188" s="32"/>
      <c r="C188" s="32"/>
      <c r="D188" s="26"/>
      <c r="E188" s="63" t="s">
        <v>271</v>
      </c>
      <c r="F188" s="28"/>
      <c r="G188" s="30"/>
      <c r="H188" s="31"/>
      <c r="I188" s="61">
        <f>350000-325000</f>
        <v>25000</v>
      </c>
      <c r="J188" s="75">
        <f>350000-325000</f>
        <v>25000</v>
      </c>
      <c r="K188" s="70"/>
      <c r="L188" s="70"/>
      <c r="M188" s="49"/>
    </row>
    <row r="189" spans="1:13" ht="72" x14ac:dyDescent="0.35">
      <c r="A189" s="32"/>
      <c r="B189" s="32"/>
      <c r="C189" s="32"/>
      <c r="D189" s="26"/>
      <c r="E189" s="58" t="s">
        <v>166</v>
      </c>
      <c r="F189" s="28"/>
      <c r="G189" s="30"/>
      <c r="H189" s="31"/>
      <c r="I189" s="61">
        <v>1015720</v>
      </c>
      <c r="J189" s="75">
        <v>1015720</v>
      </c>
      <c r="K189" s="70"/>
      <c r="L189" s="70"/>
      <c r="M189" s="49"/>
    </row>
    <row r="190" spans="1:13" ht="72" x14ac:dyDescent="0.35">
      <c r="A190" s="32"/>
      <c r="B190" s="32"/>
      <c r="C190" s="32"/>
      <c r="D190" s="26"/>
      <c r="E190" s="63" t="s">
        <v>253</v>
      </c>
      <c r="F190" s="28"/>
      <c r="G190" s="30"/>
      <c r="H190" s="31"/>
      <c r="I190" s="61">
        <f>438000+28400</f>
        <v>466400</v>
      </c>
      <c r="J190" s="75">
        <f>438000+28400</f>
        <v>466400</v>
      </c>
      <c r="K190" s="70"/>
      <c r="L190" s="70"/>
      <c r="M190" s="49"/>
    </row>
    <row r="191" spans="1:13" ht="72" x14ac:dyDescent="0.35">
      <c r="A191" s="32"/>
      <c r="B191" s="32"/>
      <c r="C191" s="32"/>
      <c r="D191" s="26"/>
      <c r="E191" s="63" t="s">
        <v>254</v>
      </c>
      <c r="F191" s="28"/>
      <c r="G191" s="30"/>
      <c r="H191" s="31"/>
      <c r="I191" s="61">
        <f>4737120+850000</f>
        <v>5587120</v>
      </c>
      <c r="J191" s="75">
        <f>4737120+850000</f>
        <v>5587120</v>
      </c>
      <c r="K191" s="70"/>
      <c r="L191" s="70"/>
      <c r="M191" s="49"/>
    </row>
    <row r="192" spans="1:13" ht="119.4" customHeight="1" x14ac:dyDescent="0.35">
      <c r="A192" s="32" t="s">
        <v>207</v>
      </c>
      <c r="B192" s="48" t="s">
        <v>208</v>
      </c>
      <c r="C192" s="46" t="s">
        <v>114</v>
      </c>
      <c r="D192" s="51" t="s">
        <v>209</v>
      </c>
      <c r="E192" s="47" t="s">
        <v>224</v>
      </c>
      <c r="F192" s="38"/>
      <c r="G192" s="45"/>
      <c r="H192" s="39"/>
      <c r="I192" s="59">
        <v>1188551</v>
      </c>
      <c r="J192" s="70">
        <v>1188551</v>
      </c>
      <c r="K192" s="71"/>
      <c r="L192" s="71"/>
      <c r="M192" s="50"/>
    </row>
    <row r="193" spans="1:13" ht="54" x14ac:dyDescent="0.35">
      <c r="A193" s="32" t="s">
        <v>168</v>
      </c>
      <c r="B193" s="48" t="s">
        <v>169</v>
      </c>
      <c r="C193" s="46" t="s">
        <v>170</v>
      </c>
      <c r="D193" s="51" t="s">
        <v>171</v>
      </c>
      <c r="E193" s="51" t="s">
        <v>29</v>
      </c>
      <c r="F193" s="28"/>
      <c r="G193" s="30"/>
      <c r="H193" s="31"/>
      <c r="I193" s="49">
        <f>I194+I195+I196+I197+I198</f>
        <v>6987961.8499999996</v>
      </c>
      <c r="J193" s="70">
        <f>J194+J195+J196+J197+J198</f>
        <v>6987961.8499999996</v>
      </c>
      <c r="K193" s="70">
        <f t="shared" ref="K193:M193" si="15">K194+K195+K196+K197</f>
        <v>0</v>
      </c>
      <c r="L193" s="70">
        <f t="shared" si="15"/>
        <v>0</v>
      </c>
      <c r="M193" s="49">
        <f t="shared" si="15"/>
        <v>0</v>
      </c>
    </row>
    <row r="194" spans="1:13" ht="36" x14ac:dyDescent="0.35">
      <c r="A194" s="32"/>
      <c r="B194" s="32"/>
      <c r="C194" s="32"/>
      <c r="D194" s="26"/>
      <c r="E194" s="58" t="s">
        <v>172</v>
      </c>
      <c r="F194" s="28"/>
      <c r="G194" s="30"/>
      <c r="H194" s="31"/>
      <c r="I194" s="49">
        <v>5730254.8499999996</v>
      </c>
      <c r="J194" s="70">
        <v>5730254.8499999996</v>
      </c>
      <c r="K194" s="70"/>
      <c r="L194" s="70"/>
      <c r="M194" s="49"/>
    </row>
    <row r="195" spans="1:13" ht="36" x14ac:dyDescent="0.35">
      <c r="A195" s="32"/>
      <c r="B195" s="32"/>
      <c r="C195" s="32"/>
      <c r="D195" s="26"/>
      <c r="E195" s="58" t="s">
        <v>173</v>
      </c>
      <c r="F195" s="28"/>
      <c r="G195" s="30"/>
      <c r="H195" s="31"/>
      <c r="I195" s="49">
        <v>37107</v>
      </c>
      <c r="J195" s="70">
        <v>37107</v>
      </c>
      <c r="K195" s="70"/>
      <c r="L195" s="70"/>
      <c r="M195" s="49"/>
    </row>
    <row r="196" spans="1:13" ht="54" x14ac:dyDescent="0.35">
      <c r="A196" s="32"/>
      <c r="B196" s="32"/>
      <c r="C196" s="32"/>
      <c r="D196" s="26"/>
      <c r="E196" s="51" t="s">
        <v>167</v>
      </c>
      <c r="F196" s="28"/>
      <c r="G196" s="30"/>
      <c r="H196" s="31"/>
      <c r="I196" s="49">
        <f>350000+325000</f>
        <v>675000</v>
      </c>
      <c r="J196" s="70">
        <f>350000+325000</f>
        <v>675000</v>
      </c>
      <c r="K196" s="70"/>
      <c r="L196" s="70"/>
      <c r="M196" s="49"/>
    </row>
    <row r="197" spans="1:13" ht="54" x14ac:dyDescent="0.35">
      <c r="A197" s="32"/>
      <c r="B197" s="32"/>
      <c r="C197" s="32"/>
      <c r="D197" s="26"/>
      <c r="E197" s="58" t="s">
        <v>174</v>
      </c>
      <c r="F197" s="28"/>
      <c r="G197" s="30"/>
      <c r="H197" s="31"/>
      <c r="I197" s="49">
        <v>300000</v>
      </c>
      <c r="J197" s="70">
        <v>300000</v>
      </c>
      <c r="K197" s="70"/>
      <c r="L197" s="70"/>
      <c r="M197" s="49"/>
    </row>
    <row r="198" spans="1:13" ht="90" x14ac:dyDescent="0.35">
      <c r="A198" s="32"/>
      <c r="B198" s="32"/>
      <c r="C198" s="32"/>
      <c r="D198" s="26"/>
      <c r="E198" s="63" t="s">
        <v>221</v>
      </c>
      <c r="F198" s="28"/>
      <c r="G198" s="30"/>
      <c r="H198" s="31"/>
      <c r="I198" s="49">
        <v>245600</v>
      </c>
      <c r="J198" s="70">
        <v>245600</v>
      </c>
      <c r="K198" s="70"/>
      <c r="L198" s="70"/>
      <c r="M198" s="49"/>
    </row>
    <row r="199" spans="1:13" x14ac:dyDescent="0.35">
      <c r="A199" s="32" t="s">
        <v>175</v>
      </c>
      <c r="B199" s="48" t="s">
        <v>176</v>
      </c>
      <c r="C199" s="46" t="s">
        <v>115</v>
      </c>
      <c r="D199" s="51" t="s">
        <v>116</v>
      </c>
      <c r="E199" s="51" t="s">
        <v>29</v>
      </c>
      <c r="F199" s="28"/>
      <c r="G199" s="30"/>
      <c r="H199" s="31"/>
      <c r="I199" s="49">
        <f>SUM(I200:I210)</f>
        <v>7792030.96</v>
      </c>
      <c r="J199" s="70">
        <f>SUM(J200:J210)</f>
        <v>7636030.96</v>
      </c>
      <c r="K199" s="70"/>
      <c r="L199" s="70"/>
      <c r="M199" s="49"/>
    </row>
    <row r="200" spans="1:13" s="40" customFormat="1" ht="36" x14ac:dyDescent="0.35">
      <c r="A200" s="43"/>
      <c r="B200" s="43"/>
      <c r="C200" s="43"/>
      <c r="D200" s="44"/>
      <c r="E200" s="58" t="s">
        <v>181</v>
      </c>
      <c r="F200" s="28"/>
      <c r="G200" s="30"/>
      <c r="H200" s="31"/>
      <c r="I200" s="60">
        <f>477515.88+992484.12</f>
        <v>1470000</v>
      </c>
      <c r="J200" s="74">
        <f>477515.88+992484.12</f>
        <v>1470000</v>
      </c>
      <c r="K200" s="71"/>
      <c r="L200" s="71"/>
      <c r="M200" s="50"/>
    </row>
    <row r="201" spans="1:13" s="40" customFormat="1" ht="36" x14ac:dyDescent="0.35">
      <c r="A201" s="43"/>
      <c r="B201" s="43"/>
      <c r="C201" s="43"/>
      <c r="D201" s="44"/>
      <c r="E201" s="58" t="s">
        <v>324</v>
      </c>
      <c r="F201" s="28"/>
      <c r="G201" s="30"/>
      <c r="H201" s="31"/>
      <c r="I201" s="60">
        <v>179000</v>
      </c>
      <c r="J201" s="74">
        <v>179000</v>
      </c>
      <c r="K201" s="71"/>
      <c r="L201" s="71"/>
      <c r="M201" s="50"/>
    </row>
    <row r="202" spans="1:13" s="40" customFormat="1" ht="36" x14ac:dyDescent="0.35">
      <c r="A202" s="43"/>
      <c r="B202" s="43"/>
      <c r="C202" s="43"/>
      <c r="D202" s="44"/>
      <c r="E202" s="58" t="s">
        <v>182</v>
      </c>
      <c r="F202" s="28"/>
      <c r="G202" s="30"/>
      <c r="H202" s="31"/>
      <c r="I202" s="60">
        <f>356325-22851.35</f>
        <v>333473.65000000002</v>
      </c>
      <c r="J202" s="74">
        <f>356325-22851.35</f>
        <v>333473.65000000002</v>
      </c>
      <c r="K202" s="71"/>
      <c r="L202" s="71"/>
      <c r="M202" s="50"/>
    </row>
    <row r="203" spans="1:13" s="40" customFormat="1" ht="54" x14ac:dyDescent="0.35">
      <c r="A203" s="43"/>
      <c r="B203" s="43"/>
      <c r="C203" s="43"/>
      <c r="D203" s="44"/>
      <c r="E203" s="58" t="s">
        <v>325</v>
      </c>
      <c r="F203" s="28"/>
      <c r="G203" s="30"/>
      <c r="H203" s="31"/>
      <c r="I203" s="60">
        <v>322851.34999999998</v>
      </c>
      <c r="J203" s="74">
        <v>322851.34999999998</v>
      </c>
      <c r="K203" s="71"/>
      <c r="L203" s="71"/>
      <c r="M203" s="50"/>
    </row>
    <row r="204" spans="1:13" s="40" customFormat="1" ht="36" x14ac:dyDescent="0.35">
      <c r="A204" s="43"/>
      <c r="B204" s="43"/>
      <c r="C204" s="43"/>
      <c r="D204" s="44"/>
      <c r="E204" s="58" t="s">
        <v>183</v>
      </c>
      <c r="F204" s="28"/>
      <c r="G204" s="30"/>
      <c r="H204" s="31"/>
      <c r="I204" s="60">
        <f>675427-39038.02</f>
        <v>636388.98</v>
      </c>
      <c r="J204" s="74">
        <f>675427-39038.02</f>
        <v>636388.98</v>
      </c>
      <c r="K204" s="71"/>
      <c r="L204" s="71"/>
      <c r="M204" s="50"/>
    </row>
    <row r="205" spans="1:13" s="40" customFormat="1" ht="36" x14ac:dyDescent="0.35">
      <c r="A205" s="43"/>
      <c r="B205" s="43"/>
      <c r="C205" s="43"/>
      <c r="D205" s="44"/>
      <c r="E205" s="58" t="s">
        <v>334</v>
      </c>
      <c r="F205" s="28"/>
      <c r="G205" s="30"/>
      <c r="H205" s="31"/>
      <c r="I205" s="60">
        <v>156000</v>
      </c>
      <c r="J205" s="74"/>
      <c r="K205" s="71"/>
      <c r="L205" s="71"/>
      <c r="M205" s="50"/>
    </row>
    <row r="206" spans="1:13" s="40" customFormat="1" ht="36" x14ac:dyDescent="0.35">
      <c r="A206" s="43"/>
      <c r="B206" s="43"/>
      <c r="C206" s="43"/>
      <c r="D206" s="44"/>
      <c r="E206" s="58" t="s">
        <v>184</v>
      </c>
      <c r="F206" s="28"/>
      <c r="G206" s="30"/>
      <c r="H206" s="31"/>
      <c r="I206" s="60">
        <f>99306.77+59200</f>
        <v>158506.77000000002</v>
      </c>
      <c r="J206" s="74">
        <f>99306.77+59200</f>
        <v>158506.77000000002</v>
      </c>
      <c r="K206" s="71"/>
      <c r="L206" s="71"/>
      <c r="M206" s="50"/>
    </row>
    <row r="207" spans="1:13" s="40" customFormat="1" ht="36" x14ac:dyDescent="0.35">
      <c r="A207" s="43"/>
      <c r="B207" s="43"/>
      <c r="C207" s="43"/>
      <c r="D207" s="44"/>
      <c r="E207" s="58" t="s">
        <v>185</v>
      </c>
      <c r="F207" s="28"/>
      <c r="G207" s="30"/>
      <c r="H207" s="31"/>
      <c r="I207" s="60">
        <f>284410.21+64400</f>
        <v>348810.21</v>
      </c>
      <c r="J207" s="74">
        <f>284410.21+64400</f>
        <v>348810.21</v>
      </c>
      <c r="K207" s="71"/>
      <c r="L207" s="71"/>
      <c r="M207" s="50"/>
    </row>
    <row r="208" spans="1:13" s="40" customFormat="1" ht="72" x14ac:dyDescent="0.35">
      <c r="A208" s="43"/>
      <c r="B208" s="43"/>
      <c r="C208" s="43"/>
      <c r="D208" s="44"/>
      <c r="E208" s="47" t="s">
        <v>225</v>
      </c>
      <c r="F208" s="28"/>
      <c r="G208" s="30"/>
      <c r="H208" s="31"/>
      <c r="I208" s="60">
        <v>100000</v>
      </c>
      <c r="J208" s="74">
        <v>100000</v>
      </c>
      <c r="K208" s="71"/>
      <c r="L208" s="71"/>
      <c r="M208" s="50"/>
    </row>
    <row r="209" spans="1:14" s="40" customFormat="1" ht="72" x14ac:dyDescent="0.35">
      <c r="A209" s="43"/>
      <c r="B209" s="43"/>
      <c r="C209" s="43"/>
      <c r="D209" s="44"/>
      <c r="E209" s="47" t="s">
        <v>226</v>
      </c>
      <c r="F209" s="28"/>
      <c r="G209" s="30"/>
      <c r="H209" s="31"/>
      <c r="I209" s="60">
        <v>100000</v>
      </c>
      <c r="J209" s="74">
        <v>100000</v>
      </c>
      <c r="K209" s="71"/>
      <c r="L209" s="71"/>
      <c r="M209" s="50"/>
    </row>
    <row r="210" spans="1:14" s="40" customFormat="1" ht="36" x14ac:dyDescent="0.35">
      <c r="A210" s="43"/>
      <c r="B210" s="43"/>
      <c r="C210" s="43"/>
      <c r="D210" s="44"/>
      <c r="E210" s="47" t="s">
        <v>227</v>
      </c>
      <c r="F210" s="28"/>
      <c r="G210" s="30"/>
      <c r="H210" s="31"/>
      <c r="I210" s="60">
        <f>3782400+204600</f>
        <v>3987000</v>
      </c>
      <c r="J210" s="74">
        <f>3782400+204600</f>
        <v>3987000</v>
      </c>
      <c r="K210" s="71"/>
      <c r="L210" s="71"/>
      <c r="M210" s="50"/>
    </row>
    <row r="211" spans="1:14" ht="54" x14ac:dyDescent="0.35">
      <c r="A211" s="32" t="s">
        <v>177</v>
      </c>
      <c r="B211" s="48" t="s">
        <v>178</v>
      </c>
      <c r="C211" s="46" t="s">
        <v>118</v>
      </c>
      <c r="D211" s="51" t="s">
        <v>119</v>
      </c>
      <c r="E211" s="51" t="s">
        <v>29</v>
      </c>
      <c r="F211" s="28"/>
      <c r="G211" s="30"/>
      <c r="H211" s="31"/>
      <c r="I211" s="49">
        <f>I212+I213+I214+I215+I216+I217+I218+I219+I220+I221+I222+I223</f>
        <v>20196146.899999999</v>
      </c>
      <c r="J211" s="70">
        <f>J212+J213+J214+J215+J216+J217+J218+J219+J220+J221+J222+J223</f>
        <v>16185353.9</v>
      </c>
      <c r="K211" s="70">
        <f t="shared" ref="K211:L211" si="16">K212+K213+K214+K215+K216+K217+K218+K219+K220+K221+K222+K223+K224</f>
        <v>4010793</v>
      </c>
      <c r="L211" s="70">
        <f t="shared" si="16"/>
        <v>0</v>
      </c>
      <c r="M211" s="49"/>
    </row>
    <row r="212" spans="1:14" s="40" customFormat="1" ht="90" x14ac:dyDescent="0.35">
      <c r="A212" s="43"/>
      <c r="B212" s="43"/>
      <c r="C212" s="43"/>
      <c r="D212" s="44"/>
      <c r="E212" s="58" t="s">
        <v>186</v>
      </c>
      <c r="F212" s="28"/>
      <c r="G212" s="30"/>
      <c r="H212" s="31"/>
      <c r="I212" s="59">
        <f>3265655.66+200000+490000</f>
        <v>3955655.66</v>
      </c>
      <c r="J212" s="70">
        <f>3265655.66+200000+490000</f>
        <v>3955655.66</v>
      </c>
      <c r="K212" s="70"/>
      <c r="L212" s="70"/>
      <c r="M212" s="50"/>
    </row>
    <row r="213" spans="1:14" s="40" customFormat="1" ht="36" x14ac:dyDescent="0.35">
      <c r="A213" s="43"/>
      <c r="B213" s="43"/>
      <c r="C213" s="43"/>
      <c r="D213" s="44"/>
      <c r="E213" s="58" t="s">
        <v>205</v>
      </c>
      <c r="F213" s="28"/>
      <c r="G213" s="30"/>
      <c r="H213" s="31"/>
      <c r="I213" s="59">
        <f>620518+500000</f>
        <v>1120518</v>
      </c>
      <c r="J213" s="70">
        <f>620518+500000</f>
        <v>1120518</v>
      </c>
      <c r="K213" s="70"/>
      <c r="L213" s="70"/>
      <c r="M213" s="50"/>
    </row>
    <row r="214" spans="1:14" s="40" customFormat="1" ht="54" x14ac:dyDescent="0.35">
      <c r="A214" s="43"/>
      <c r="B214" s="43"/>
      <c r="C214" s="43"/>
      <c r="D214" s="44"/>
      <c r="E214" s="46" t="s">
        <v>187</v>
      </c>
      <c r="F214" s="28"/>
      <c r="G214" s="30"/>
      <c r="H214" s="31"/>
      <c r="I214" s="59">
        <v>1004292.24</v>
      </c>
      <c r="J214" s="70">
        <v>1004292.24</v>
      </c>
      <c r="K214" s="70"/>
      <c r="L214" s="70"/>
      <c r="M214" s="50"/>
    </row>
    <row r="215" spans="1:14" s="40" customFormat="1" ht="126" x14ac:dyDescent="0.35">
      <c r="A215" s="43"/>
      <c r="B215" s="43"/>
      <c r="C215" s="43"/>
      <c r="D215" s="44"/>
      <c r="E215" s="46" t="s">
        <v>188</v>
      </c>
      <c r="F215" s="28"/>
      <c r="G215" s="30"/>
      <c r="H215" s="31"/>
      <c r="I215" s="59">
        <f>10141431-6130638</f>
        <v>4010793</v>
      </c>
      <c r="J215" s="70"/>
      <c r="K215" s="70">
        <f>10141431-6130638</f>
        <v>4010793</v>
      </c>
      <c r="L215" s="70"/>
      <c r="M215" s="50"/>
    </row>
    <row r="216" spans="1:14" s="40" customFormat="1" ht="90" x14ac:dyDescent="0.35">
      <c r="A216" s="43"/>
      <c r="B216" s="43"/>
      <c r="C216" s="43"/>
      <c r="D216" s="64"/>
      <c r="E216" s="47" t="s">
        <v>228</v>
      </c>
      <c r="F216" s="28"/>
      <c r="G216" s="30"/>
      <c r="H216" s="31"/>
      <c r="I216" s="59">
        <v>200000</v>
      </c>
      <c r="J216" s="70">
        <v>200000</v>
      </c>
      <c r="K216" s="70"/>
      <c r="L216" s="70"/>
      <c r="M216" s="50"/>
    </row>
    <row r="217" spans="1:14" s="40" customFormat="1" ht="72" x14ac:dyDescent="0.35">
      <c r="A217" s="43"/>
      <c r="B217" s="43"/>
      <c r="C217" s="43"/>
      <c r="D217" s="64"/>
      <c r="E217" s="47" t="s">
        <v>229</v>
      </c>
      <c r="F217" s="28"/>
      <c r="G217" s="30"/>
      <c r="H217" s="31"/>
      <c r="I217" s="59">
        <v>100000</v>
      </c>
      <c r="J217" s="70">
        <v>100000</v>
      </c>
      <c r="K217" s="70"/>
      <c r="L217" s="70"/>
      <c r="M217" s="50"/>
    </row>
    <row r="218" spans="1:14" s="40" customFormat="1" ht="72" x14ac:dyDescent="0.35">
      <c r="A218" s="43"/>
      <c r="B218" s="43"/>
      <c r="C218" s="43"/>
      <c r="D218" s="64"/>
      <c r="E218" s="47" t="s">
        <v>222</v>
      </c>
      <c r="F218" s="28"/>
      <c r="G218" s="30"/>
      <c r="H218" s="31"/>
      <c r="I218" s="59">
        <v>245400</v>
      </c>
      <c r="J218" s="70">
        <v>245400</v>
      </c>
      <c r="K218" s="70"/>
      <c r="L218" s="70"/>
      <c r="M218" s="50"/>
    </row>
    <row r="219" spans="1:14" s="40" customFormat="1" ht="144" x14ac:dyDescent="0.35">
      <c r="A219" s="43"/>
      <c r="B219" s="43"/>
      <c r="C219" s="43"/>
      <c r="D219" s="64"/>
      <c r="E219" s="46" t="s">
        <v>223</v>
      </c>
      <c r="F219" s="28"/>
      <c r="G219" s="30"/>
      <c r="H219" s="31"/>
      <c r="I219" s="59">
        <f>4276488+683000</f>
        <v>4959488</v>
      </c>
      <c r="J219" s="70">
        <f>4276488+683000</f>
        <v>4959488</v>
      </c>
      <c r="K219" s="70"/>
      <c r="L219" s="70"/>
      <c r="M219" s="50"/>
    </row>
    <row r="220" spans="1:14" s="40" customFormat="1" ht="90" x14ac:dyDescent="0.35">
      <c r="A220" s="43"/>
      <c r="B220" s="43"/>
      <c r="C220" s="43"/>
      <c r="D220" s="64"/>
      <c r="E220" s="46" t="s">
        <v>256</v>
      </c>
      <c r="F220" s="28"/>
      <c r="G220" s="30"/>
      <c r="H220" s="31"/>
      <c r="I220" s="59">
        <v>1200000</v>
      </c>
      <c r="J220" s="70">
        <v>1200000</v>
      </c>
      <c r="K220" s="70"/>
      <c r="L220" s="70"/>
      <c r="M220" s="50"/>
    </row>
    <row r="221" spans="1:14" s="40" customFormat="1" ht="90" x14ac:dyDescent="0.35">
      <c r="A221" s="43"/>
      <c r="B221" s="43"/>
      <c r="C221" s="43"/>
      <c r="D221" s="64"/>
      <c r="E221" s="46" t="s">
        <v>257</v>
      </c>
      <c r="F221" s="28"/>
      <c r="G221" s="30"/>
      <c r="H221" s="31"/>
      <c r="I221" s="59">
        <v>1200000</v>
      </c>
      <c r="J221" s="70">
        <v>1200000</v>
      </c>
      <c r="K221" s="70"/>
      <c r="L221" s="70"/>
      <c r="M221" s="50"/>
    </row>
    <row r="222" spans="1:14" s="40" customFormat="1" ht="90" x14ac:dyDescent="0.35">
      <c r="A222" s="43"/>
      <c r="B222" s="43"/>
      <c r="C222" s="43"/>
      <c r="D222" s="64"/>
      <c r="E222" s="46" t="s">
        <v>258</v>
      </c>
      <c r="F222" s="28"/>
      <c r="G222" s="30"/>
      <c r="H222" s="31"/>
      <c r="I222" s="59">
        <v>1200000</v>
      </c>
      <c r="J222" s="70">
        <v>1200000</v>
      </c>
      <c r="K222" s="70"/>
      <c r="L222" s="70"/>
      <c r="M222" s="50"/>
    </row>
    <row r="223" spans="1:14" s="40" customFormat="1" ht="90" x14ac:dyDescent="0.35">
      <c r="A223" s="43"/>
      <c r="B223" s="43"/>
      <c r="C223" s="43"/>
      <c r="D223" s="64"/>
      <c r="E223" s="46" t="s">
        <v>259</v>
      </c>
      <c r="F223" s="28"/>
      <c r="G223" s="30"/>
      <c r="H223" s="31"/>
      <c r="I223" s="59">
        <v>1000000</v>
      </c>
      <c r="J223" s="70">
        <v>1000000</v>
      </c>
      <c r="K223" s="70"/>
      <c r="L223" s="70"/>
      <c r="M223" s="50"/>
    </row>
    <row r="224" spans="1:14" ht="70.95" customHeight="1" x14ac:dyDescent="0.35">
      <c r="A224" s="32" t="s">
        <v>272</v>
      </c>
      <c r="B224" s="48">
        <v>8742</v>
      </c>
      <c r="C224" s="81" t="s">
        <v>100</v>
      </c>
      <c r="D224" s="46" t="s">
        <v>273</v>
      </c>
      <c r="E224" s="51" t="s">
        <v>274</v>
      </c>
      <c r="F224" s="28"/>
      <c r="G224" s="30"/>
      <c r="H224" s="31"/>
      <c r="I224" s="49">
        <v>4575000</v>
      </c>
      <c r="J224" s="70">
        <v>4575000</v>
      </c>
      <c r="K224" s="70"/>
      <c r="L224" s="70"/>
      <c r="M224" s="49"/>
      <c r="N224" s="1"/>
    </row>
    <row r="225" spans="1:14" ht="37.950000000000003" customHeight="1" x14ac:dyDescent="0.35">
      <c r="A225" s="29" t="s">
        <v>189</v>
      </c>
      <c r="B225" s="27" t="s">
        <v>36</v>
      </c>
      <c r="C225" s="27" t="s">
        <v>36</v>
      </c>
      <c r="D225" s="96" t="s">
        <v>190</v>
      </c>
      <c r="E225" s="97"/>
      <c r="F225" s="28"/>
      <c r="G225" s="30"/>
      <c r="H225" s="31"/>
      <c r="I225" s="36">
        <f>I226</f>
        <v>840000</v>
      </c>
      <c r="J225" s="69">
        <f>J226</f>
        <v>840000</v>
      </c>
      <c r="K225" s="69"/>
      <c r="L225" s="69"/>
      <c r="M225" s="49"/>
      <c r="N225" s="1"/>
    </row>
    <row r="226" spans="1:14" ht="42" customHeight="1" x14ac:dyDescent="0.35">
      <c r="A226" s="29" t="s">
        <v>191</v>
      </c>
      <c r="B226" s="27" t="s">
        <v>36</v>
      </c>
      <c r="C226" s="27" t="s">
        <v>36</v>
      </c>
      <c r="D226" s="96" t="s">
        <v>190</v>
      </c>
      <c r="E226" s="97"/>
      <c r="F226" s="28"/>
      <c r="G226" s="30"/>
      <c r="H226" s="31"/>
      <c r="I226" s="36">
        <f>I227+I228</f>
        <v>840000</v>
      </c>
      <c r="J226" s="69">
        <f>J227+J228</f>
        <v>840000</v>
      </c>
      <c r="K226" s="69"/>
      <c r="L226" s="69"/>
      <c r="M226" s="49"/>
    </row>
    <row r="227" spans="1:14" ht="72" x14ac:dyDescent="0.35">
      <c r="A227" s="32" t="s">
        <v>192</v>
      </c>
      <c r="B227" s="48" t="s">
        <v>53</v>
      </c>
      <c r="C227" s="46" t="s">
        <v>27</v>
      </c>
      <c r="D227" s="51" t="s">
        <v>54</v>
      </c>
      <c r="E227" s="51" t="s">
        <v>63</v>
      </c>
      <c r="F227" s="28"/>
      <c r="G227" s="30"/>
      <c r="H227" s="31"/>
      <c r="I227" s="49">
        <v>30000</v>
      </c>
      <c r="J227" s="70">
        <v>30000</v>
      </c>
      <c r="K227" s="70"/>
      <c r="L227" s="70"/>
      <c r="M227" s="49"/>
    </row>
    <row r="228" spans="1:14" ht="37.950000000000003" customHeight="1" x14ac:dyDescent="0.35">
      <c r="A228" s="32" t="s">
        <v>194</v>
      </c>
      <c r="B228" s="48" t="s">
        <v>195</v>
      </c>
      <c r="C228" s="46" t="s">
        <v>170</v>
      </c>
      <c r="D228" s="51" t="s">
        <v>196</v>
      </c>
      <c r="E228" s="51" t="s">
        <v>63</v>
      </c>
      <c r="F228" s="28"/>
      <c r="G228" s="30"/>
      <c r="H228" s="31"/>
      <c r="I228" s="49">
        <f>550000+260000</f>
        <v>810000</v>
      </c>
      <c r="J228" s="70">
        <f>550000+260000</f>
        <v>810000</v>
      </c>
      <c r="K228" s="70"/>
      <c r="L228" s="70"/>
      <c r="M228" s="49"/>
      <c r="N228" s="1"/>
    </row>
    <row r="229" spans="1:14" ht="27" customHeight="1" x14ac:dyDescent="0.35">
      <c r="A229" s="88" t="s">
        <v>197</v>
      </c>
      <c r="B229" s="32" t="s">
        <v>36</v>
      </c>
      <c r="C229" s="32" t="s">
        <v>36</v>
      </c>
      <c r="D229" s="98" t="s">
        <v>198</v>
      </c>
      <c r="E229" s="99"/>
      <c r="F229" s="28"/>
      <c r="G229" s="30"/>
      <c r="H229" s="31"/>
      <c r="I229" s="36">
        <f>I230</f>
        <v>4110110</v>
      </c>
      <c r="J229" s="69">
        <f>J230</f>
        <v>4110110</v>
      </c>
      <c r="K229" s="69"/>
      <c r="L229" s="69"/>
      <c r="M229" s="49"/>
      <c r="N229" s="1"/>
    </row>
    <row r="230" spans="1:14" ht="25.2" customHeight="1" x14ac:dyDescent="0.35">
      <c r="A230" s="88" t="s">
        <v>199</v>
      </c>
      <c r="B230" s="32" t="s">
        <v>36</v>
      </c>
      <c r="C230" s="32" t="s">
        <v>36</v>
      </c>
      <c r="D230" s="98" t="s">
        <v>198</v>
      </c>
      <c r="E230" s="99"/>
      <c r="F230" s="28"/>
      <c r="G230" s="30"/>
      <c r="H230" s="31"/>
      <c r="I230" s="36">
        <f>I231</f>
        <v>4110110</v>
      </c>
      <c r="J230" s="69">
        <f>J231</f>
        <v>4110110</v>
      </c>
      <c r="K230" s="69"/>
      <c r="L230" s="69"/>
      <c r="M230" s="49"/>
    </row>
    <row r="231" spans="1:14" s="40" customFormat="1" ht="72" x14ac:dyDescent="0.35">
      <c r="A231" s="32" t="s">
        <v>200</v>
      </c>
      <c r="B231" s="48" t="s">
        <v>201</v>
      </c>
      <c r="C231" s="46" t="s">
        <v>202</v>
      </c>
      <c r="D231" s="51" t="s">
        <v>203</v>
      </c>
      <c r="E231" s="51" t="s">
        <v>29</v>
      </c>
      <c r="F231" s="28"/>
      <c r="G231" s="30"/>
      <c r="H231" s="31"/>
      <c r="I231" s="49">
        <f>I232+I233+I234+I235+I236</f>
        <v>4110110</v>
      </c>
      <c r="J231" s="70">
        <f>J232+J233+J234+J235+J236</f>
        <v>4110110</v>
      </c>
      <c r="K231" s="70"/>
      <c r="L231" s="70"/>
      <c r="M231" s="49"/>
    </row>
    <row r="232" spans="1:14" s="40" customFormat="1" ht="36" x14ac:dyDescent="0.35">
      <c r="A232" s="43"/>
      <c r="B232" s="43"/>
      <c r="C232" s="43"/>
      <c r="D232" s="44"/>
      <c r="E232" s="51" t="s">
        <v>204</v>
      </c>
      <c r="F232" s="28"/>
      <c r="G232" s="30"/>
      <c r="H232" s="31"/>
      <c r="I232" s="49">
        <v>365250</v>
      </c>
      <c r="J232" s="70">
        <v>365250</v>
      </c>
      <c r="K232" s="71"/>
      <c r="L232" s="71"/>
      <c r="M232" s="50"/>
    </row>
    <row r="233" spans="1:14" s="40" customFormat="1" ht="54" x14ac:dyDescent="0.35">
      <c r="A233" s="43"/>
      <c r="B233" s="43"/>
      <c r="C233" s="43"/>
      <c r="D233" s="44"/>
      <c r="E233" s="51" t="s">
        <v>211</v>
      </c>
      <c r="F233" s="28"/>
      <c r="G233" s="30"/>
      <c r="H233" s="31"/>
      <c r="I233" s="49">
        <f>425000+409500</f>
        <v>834500</v>
      </c>
      <c r="J233" s="70">
        <f>425000+409500</f>
        <v>834500</v>
      </c>
      <c r="K233" s="71"/>
      <c r="L233" s="71"/>
      <c r="M233" s="50"/>
    </row>
    <row r="234" spans="1:14" ht="90" x14ac:dyDescent="0.35">
      <c r="A234" s="43"/>
      <c r="B234" s="43"/>
      <c r="C234" s="43"/>
      <c r="D234" s="44"/>
      <c r="E234" s="51" t="s">
        <v>260</v>
      </c>
      <c r="F234" s="28"/>
      <c r="G234" s="30"/>
      <c r="H234" s="31"/>
      <c r="I234" s="49">
        <v>1500000</v>
      </c>
      <c r="J234" s="70">
        <v>1500000</v>
      </c>
      <c r="K234" s="71"/>
      <c r="L234" s="71"/>
      <c r="M234" s="50"/>
    </row>
    <row r="235" spans="1:14" ht="54" x14ac:dyDescent="0.35">
      <c r="A235" s="43"/>
      <c r="B235" s="43"/>
      <c r="C235" s="43"/>
      <c r="D235" s="44"/>
      <c r="E235" s="51" t="s">
        <v>285</v>
      </c>
      <c r="F235" s="28"/>
      <c r="G235" s="30"/>
      <c r="H235" s="31"/>
      <c r="I235" s="49">
        <v>380860</v>
      </c>
      <c r="J235" s="70">
        <v>380860</v>
      </c>
      <c r="K235" s="71"/>
      <c r="L235" s="71"/>
      <c r="M235" s="50"/>
    </row>
    <row r="236" spans="1:14" ht="36" x14ac:dyDescent="0.35">
      <c r="A236" s="43"/>
      <c r="B236" s="43"/>
      <c r="C236" s="43"/>
      <c r="D236" s="44"/>
      <c r="E236" s="51" t="s">
        <v>289</v>
      </c>
      <c r="F236" s="28"/>
      <c r="G236" s="30"/>
      <c r="H236" s="31"/>
      <c r="I236" s="49">
        <f>400000+629500</f>
        <v>1029500</v>
      </c>
      <c r="J236" s="70">
        <f>400000+629500</f>
        <v>1029500</v>
      </c>
      <c r="K236" s="71"/>
      <c r="L236" s="71"/>
      <c r="M236" s="50"/>
    </row>
    <row r="237" spans="1:14" x14ac:dyDescent="0.35">
      <c r="A237" s="41"/>
      <c r="B237" s="27"/>
      <c r="C237" s="27"/>
      <c r="D237" s="2"/>
      <c r="E237" s="18" t="s">
        <v>0</v>
      </c>
      <c r="F237" s="19"/>
      <c r="G237" s="22"/>
      <c r="H237" s="23"/>
      <c r="I237" s="62">
        <f>I18+I27+I39+I48+I51+I55+I58+I112+I225+I229</f>
        <v>200527137.98999998</v>
      </c>
      <c r="J237" s="76">
        <f>J18+J27+J39+J48+J51+J55+J58+J112+J225+J229</f>
        <v>182470315.78999999</v>
      </c>
      <c r="K237" s="76">
        <f>K18+K27+K39+K48+K51+K55+K58+K112+K225+K229</f>
        <v>12456822.199999999</v>
      </c>
      <c r="L237" s="76">
        <f>L18+L27+L39+L48+L51+L55+L58+L112+L225+L229</f>
        <v>5600000</v>
      </c>
      <c r="M237" s="62"/>
    </row>
    <row r="238" spans="1:14" s="33" customFormat="1" x14ac:dyDescent="0.35">
      <c r="A238" s="5"/>
      <c r="B238" s="4"/>
      <c r="C238" s="4"/>
      <c r="D238" s="5"/>
      <c r="E238" s="20"/>
      <c r="F238" s="6"/>
      <c r="G238" s="6"/>
      <c r="H238" s="7"/>
      <c r="I238" s="21"/>
      <c r="J238" s="77"/>
      <c r="K238" s="77"/>
      <c r="L238" s="77"/>
      <c r="M238" s="7"/>
    </row>
    <row r="239" spans="1:14" x14ac:dyDescent="0.35">
      <c r="A239" s="37"/>
      <c r="B239" s="17"/>
      <c r="C239" s="33"/>
      <c r="D239" s="33" t="s">
        <v>16</v>
      </c>
      <c r="E239" s="33"/>
      <c r="F239" s="34" t="s">
        <v>17</v>
      </c>
      <c r="G239" s="35"/>
      <c r="H239" s="34"/>
      <c r="I239" s="33"/>
      <c r="M239" s="33"/>
    </row>
    <row r="240" spans="1:14" x14ac:dyDescent="0.35">
      <c r="A240" s="17"/>
      <c r="I240" s="1"/>
      <c r="J240" s="78"/>
      <c r="K240" s="78"/>
      <c r="L240" s="78"/>
    </row>
    <row r="241" spans="8:13" x14ac:dyDescent="0.35">
      <c r="H241" s="1"/>
      <c r="I241" s="1"/>
      <c r="J241" s="78"/>
      <c r="K241" s="78"/>
      <c r="L241" s="78"/>
    </row>
    <row r="242" spans="8:13" x14ac:dyDescent="0.35">
      <c r="H242" s="5" t="s">
        <v>261</v>
      </c>
      <c r="I242" s="85">
        <v>202037413.62999997</v>
      </c>
      <c r="J242" s="86">
        <v>183980591.42999998</v>
      </c>
      <c r="K242" s="86">
        <v>12456822.199999999</v>
      </c>
      <c r="L242" s="86">
        <v>5600000</v>
      </c>
    </row>
    <row r="243" spans="8:13" x14ac:dyDescent="0.35">
      <c r="H243" s="1" t="s">
        <v>262</v>
      </c>
      <c r="I243" s="1">
        <f>J243+K243+L243</f>
        <v>-1510275.6399999857</v>
      </c>
      <c r="J243" s="78">
        <f>J237-J242</f>
        <v>-1510275.6399999857</v>
      </c>
      <c r="K243" s="78">
        <f t="shared" ref="K243:L243" si="17">K237-K242</f>
        <v>0</v>
      </c>
      <c r="L243" s="78">
        <f t="shared" si="17"/>
        <v>0</v>
      </c>
    </row>
    <row r="244" spans="8:13" x14ac:dyDescent="0.35">
      <c r="H244" s="1"/>
      <c r="I244" s="1"/>
      <c r="J244" s="78"/>
      <c r="K244" s="78"/>
      <c r="L244" s="78"/>
      <c r="M244" s="1"/>
    </row>
    <row r="245" spans="8:13" x14ac:dyDescent="0.35">
      <c r="I245" s="42"/>
      <c r="J245" s="79"/>
      <c r="K245" s="79"/>
      <c r="L245" s="79"/>
    </row>
    <row r="246" spans="8:13" x14ac:dyDescent="0.35">
      <c r="H246" s="1" t="s">
        <v>263</v>
      </c>
      <c r="I246" s="1">
        <v>39753680.5</v>
      </c>
      <c r="J246" s="78">
        <v>39753680.5</v>
      </c>
      <c r="K246" s="78"/>
      <c r="L246" s="78"/>
    </row>
    <row r="247" spans="8:13" x14ac:dyDescent="0.35">
      <c r="H247" s="1" t="s">
        <v>264</v>
      </c>
      <c r="I247" s="1">
        <f>I237+I246</f>
        <v>240280818.48999998</v>
      </c>
      <c r="J247" s="78">
        <f>J237+J246</f>
        <v>222223996.28999999</v>
      </c>
      <c r="K247" s="78">
        <f>'[1]2023'!$D$27</f>
        <v>-222223996.29000002</v>
      </c>
      <c r="L247" s="87">
        <f>J247+K247</f>
        <v>0</v>
      </c>
      <c r="M247" s="1"/>
    </row>
    <row r="248" spans="8:13" x14ac:dyDescent="0.35">
      <c r="H248" s="5" t="s">
        <v>261</v>
      </c>
      <c r="I248" s="1">
        <f>I242+46088473.86</f>
        <v>248125887.48999995</v>
      </c>
      <c r="J248" s="78">
        <f>J242+46088473.86</f>
        <v>230069065.28999996</v>
      </c>
    </row>
    <row r="249" spans="8:13" x14ac:dyDescent="0.35">
      <c r="H249" s="5" t="s">
        <v>262</v>
      </c>
      <c r="I249" s="1">
        <f>I247-I248</f>
        <v>-7845068.9999999702</v>
      </c>
      <c r="J249" s="78">
        <f>J247-J248</f>
        <v>-7845068.9999999702</v>
      </c>
    </row>
    <row r="250" spans="8:13" x14ac:dyDescent="0.35">
      <c r="J250" s="82"/>
      <c r="K250" s="5"/>
      <c r="L250" s="5"/>
    </row>
  </sheetData>
  <mergeCells count="37">
    <mergeCell ref="D230:E230"/>
    <mergeCell ref="D44:E44"/>
    <mergeCell ref="D46:E46"/>
    <mergeCell ref="D225:E225"/>
    <mergeCell ref="D229:E229"/>
    <mergeCell ref="D58:E58"/>
    <mergeCell ref="D59:E59"/>
    <mergeCell ref="D112:E112"/>
    <mergeCell ref="D113:E113"/>
    <mergeCell ref="D226:E226"/>
    <mergeCell ref="D45:E45"/>
    <mergeCell ref="D18:E18"/>
    <mergeCell ref="D19:E19"/>
    <mergeCell ref="D56:E56"/>
    <mergeCell ref="D27:E27"/>
    <mergeCell ref="D28:E28"/>
    <mergeCell ref="D39:E39"/>
    <mergeCell ref="D40:E40"/>
    <mergeCell ref="D51:E51"/>
    <mergeCell ref="D52:E52"/>
    <mergeCell ref="D55:E55"/>
    <mergeCell ref="D48:E48"/>
    <mergeCell ref="D49:E49"/>
    <mergeCell ref="A11:B11"/>
    <mergeCell ref="A12:B12"/>
    <mergeCell ref="A13:M13"/>
    <mergeCell ref="A15:A16"/>
    <mergeCell ref="B15:B16"/>
    <mergeCell ref="C15:C16"/>
    <mergeCell ref="D15:D16"/>
    <mergeCell ref="E15:E16"/>
    <mergeCell ref="F15:F16"/>
    <mergeCell ref="G15:G16"/>
    <mergeCell ref="H15:H16"/>
    <mergeCell ref="I15:I16"/>
    <mergeCell ref="J15:L15"/>
    <mergeCell ref="M15:M16"/>
  </mergeCells>
  <pageMargins left="0.59055118110236227" right="0.59055118110236227" top="0.19685039370078741" bottom="0.19685039370078741" header="0" footer="0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Лист1</vt:lpstr>
      <vt:lpstr>2023</vt:lpstr>
      <vt:lpstr>'2023'!Заголовки_для_друку</vt:lpstr>
      <vt:lpstr>'2023'!Область_друку</vt:lpstr>
    </vt:vector>
  </TitlesOfParts>
  <Company>УКХиЭ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Admin</cp:lastModifiedBy>
  <cp:lastPrinted>2023-06-21T14:02:36Z</cp:lastPrinted>
  <dcterms:created xsi:type="dcterms:W3CDTF">2005-08-15T04:40:30Z</dcterms:created>
  <dcterms:modified xsi:type="dcterms:W3CDTF">2023-08-21T08:05:11Z</dcterms:modified>
</cp:coreProperties>
</file>